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Green\Roll-Up\"/>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19200" windowHeight="6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c r="B8" i="6"/>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S1398"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AB858" i="5" s="1"/>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V416" i="5"/>
  <c r="R416" i="5" s="1"/>
  <c r="V387" i="5"/>
  <c r="I387" i="5" s="1"/>
  <c r="V364" i="5"/>
  <c r="I364" i="5" s="1"/>
  <c r="V363" i="5" s="1"/>
  <c r="I363" i="5" s="1"/>
  <c r="V313" i="5"/>
  <c r="R313" i="5" s="1"/>
  <c r="V263" i="5"/>
  <c r="R263" i="5" s="1"/>
  <c r="V231" i="5"/>
  <c r="H231" i="5" s="1"/>
  <c r="V230" i="5" s="1"/>
  <c r="V37" i="5"/>
  <c r="R37" i="5" s="1"/>
  <c r="V20" i="5"/>
  <c r="R20"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534" i="5"/>
  <c r="S313" i="5"/>
  <c r="S120" i="5"/>
  <c r="S414" i="5"/>
  <c r="S515" i="5"/>
  <c r="S230" i="5"/>
  <c r="S22" i="5"/>
  <c r="S362" i="5"/>
  <c r="S262" i="5"/>
  <c r="V229" i="5" l="1"/>
  <c r="V227" i="5" s="1"/>
  <c r="V311" i="5"/>
  <c r="V515" i="5"/>
  <c r="V361" i="5"/>
  <c r="V360" i="5" s="1"/>
  <c r="V22" i="5"/>
  <c r="I22" i="5" s="1"/>
  <c r="V21" i="5" s="1"/>
  <c r="H21" i="5" s="1"/>
  <c r="V532" i="5"/>
  <c r="V531" i="5" s="1"/>
  <c r="V530" i="5" s="1"/>
  <c r="R530" i="5" s="1"/>
  <c r="T645" i="5"/>
  <c r="S778" i="5"/>
  <c r="S853" i="5"/>
  <c r="AB1022" i="5"/>
  <c r="T1435" i="5"/>
  <c r="S1477" i="5"/>
  <c r="S2015" i="5"/>
  <c r="S2038" i="5"/>
  <c r="T2163" i="5"/>
  <c r="AB579" i="5"/>
  <c r="T684" i="5"/>
  <c r="AB1401" i="5"/>
  <c r="T1519" i="5"/>
  <c r="T1684" i="5"/>
  <c r="S1770" i="5"/>
  <c r="T1781" i="5"/>
  <c r="S2140" i="5"/>
  <c r="T2317" i="5"/>
  <c r="S2428" i="5"/>
  <c r="AB643" i="5"/>
  <c r="S858" i="5"/>
  <c r="AB902" i="5"/>
  <c r="AB1071" i="5"/>
  <c r="T1098" i="5"/>
  <c r="AB1814" i="5"/>
  <c r="S1596" i="5"/>
  <c r="T1814" i="5"/>
  <c r="AB2402" i="5"/>
  <c r="S1000" i="5"/>
  <c r="AB1115" i="5"/>
  <c r="AB1293" i="5"/>
  <c r="AB1353" i="5"/>
  <c r="E1479" i="5"/>
  <c r="X1479" i="5" s="1"/>
  <c r="AB1624" i="5"/>
  <c r="T2060" i="5"/>
  <c r="T2248" i="5"/>
  <c r="AB841" i="5"/>
  <c r="AB1691" i="5"/>
  <c r="AB1731" i="5"/>
  <c r="AB2088" i="5"/>
  <c r="AB348" i="5"/>
  <c r="S597" i="5"/>
  <c r="T800" i="5"/>
  <c r="AB1079" i="5"/>
  <c r="AB1110" i="5"/>
  <c r="J1479" i="5"/>
  <c r="T1672" i="5"/>
  <c r="T1741" i="5"/>
  <c r="S1899" i="5"/>
  <c r="T1967" i="5"/>
  <c r="T2421" i="5"/>
  <c r="AB2480" i="5"/>
  <c r="H2499" i="5"/>
  <c r="AB164"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T587" i="5"/>
  <c r="S633" i="5"/>
  <c r="G809" i="5"/>
  <c r="H1230" i="5"/>
  <c r="AB1593" i="5"/>
  <c r="S1696" i="5"/>
  <c r="S1749" i="5"/>
  <c r="S1752" i="5"/>
  <c r="S1766" i="5"/>
  <c r="T1795" i="5"/>
  <c r="T1855" i="5"/>
  <c r="T2019" i="5"/>
  <c r="S2022" i="5"/>
  <c r="AB517" i="5"/>
  <c r="S577" i="5"/>
  <c r="AB607" i="5"/>
  <c r="S706" i="5"/>
  <c r="R897" i="5"/>
  <c r="S960" i="5"/>
  <c r="S1255" i="5"/>
  <c r="AB1308" i="5"/>
  <c r="T1315" i="5"/>
  <c r="AB1369" i="5"/>
  <c r="S1386" i="5"/>
  <c r="S1437" i="5"/>
  <c r="I1480" i="5"/>
  <c r="I1487" i="5"/>
  <c r="T1704" i="5"/>
  <c r="S1919" i="5"/>
  <c r="AB2071" i="5"/>
  <c r="AB2166" i="5"/>
  <c r="T2285" i="5"/>
  <c r="T2397" i="5"/>
  <c r="S2408" i="5"/>
  <c r="T92"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AB364" i="5"/>
  <c r="G761" i="5"/>
  <c r="H1178" i="5"/>
  <c r="J1218" i="5"/>
  <c r="J1250" i="5"/>
  <c r="AB1312" i="5"/>
  <c r="F2013" i="5"/>
  <c r="V2061" i="5"/>
  <c r="E2061" i="5" s="1"/>
  <c r="X2061" i="5" s="1"/>
  <c r="AB2065" i="5"/>
  <c r="AB2152" i="5"/>
  <c r="H2474" i="5"/>
  <c r="X171" i="5" s="1"/>
  <c r="AB196"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X158" i="5" s="1"/>
  <c r="AB231" i="5"/>
  <c r="AB838" i="5"/>
  <c r="AB983" i="5"/>
  <c r="G1246" i="5"/>
  <c r="AB1288" i="5"/>
  <c r="AB1455" i="5"/>
  <c r="J1551" i="5"/>
  <c r="AB2146" i="5"/>
  <c r="G2297" i="5"/>
  <c r="AB2089" i="5"/>
  <c r="AB340" i="5"/>
  <c r="AB469" i="5"/>
  <c r="AB473" i="5"/>
  <c r="AB666" i="5"/>
  <c r="J1230" i="5"/>
  <c r="AB1241" i="5"/>
  <c r="AB1531" i="5"/>
  <c r="AB1779" i="5"/>
  <c r="J2045" i="5"/>
  <c r="AB2053" i="5"/>
  <c r="AB2225" i="5"/>
  <c r="AB2229" i="5"/>
  <c r="AB2435" i="5"/>
  <c r="E2450" i="5"/>
  <c r="X2450" i="5" s="1"/>
  <c r="X217" i="5" s="1"/>
  <c r="I802" i="5"/>
  <c r="F802" i="5"/>
  <c r="I940" i="5"/>
  <c r="H940" i="5"/>
  <c r="R780" i="5"/>
  <c r="I780" i="5"/>
  <c r="E780" i="5"/>
  <c r="X780" i="5" s="1"/>
  <c r="R630" i="5"/>
  <c r="G630" i="5"/>
  <c r="E612" i="5"/>
  <c r="X612" i="5" s="1"/>
  <c r="R612" i="5"/>
  <c r="F612" i="5"/>
  <c r="H1165" i="5"/>
  <c r="F1165" i="5"/>
  <c r="E1165" i="5"/>
  <c r="X1165" i="5" s="1"/>
  <c r="F539" i="5"/>
  <c r="I539" i="5"/>
  <c r="J782" i="5"/>
  <c r="E782" i="5"/>
  <c r="X782" i="5" s="1"/>
  <c r="F594" i="5"/>
  <c r="G594" i="5"/>
  <c r="T1305" i="5"/>
  <c r="S1305" i="5"/>
  <c r="AB1743" i="5"/>
  <c r="S1743" i="5"/>
  <c r="T1802" i="5"/>
  <c r="AB1802" i="5"/>
  <c r="F1909" i="5"/>
  <c r="R1909" i="5"/>
  <c r="H1909" i="5"/>
  <c r="R2458" i="5"/>
  <c r="I2458" i="5"/>
  <c r="AB30" i="5"/>
  <c r="AB126" i="5"/>
  <c r="AB438" i="5"/>
  <c r="AB459"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AB102" i="5"/>
  <c r="AB242" i="5"/>
  <c r="AB283" i="5"/>
  <c r="AB308" i="5"/>
  <c r="AB426" i="5"/>
  <c r="AB430" i="5"/>
  <c r="AB457"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218" i="5"/>
  <c r="AB235" i="5"/>
  <c r="AB368" i="5"/>
  <c r="AB400" i="5"/>
  <c r="X413" i="5" s="1"/>
  <c r="AB442" i="5"/>
  <c r="X491" i="5" s="1"/>
  <c r="AB509"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AB106"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s="1"/>
  <c r="X134" i="5" s="1"/>
  <c r="X235" i="5" s="1"/>
  <c r="T262" i="5"/>
  <c r="V265" i="5"/>
  <c r="R265" i="5" s="1"/>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V330" i="5"/>
  <c r="T895" i="5"/>
  <c r="AB895" i="5"/>
  <c r="S895" i="5"/>
  <c r="AB1863" i="5"/>
  <c r="T1863" i="5"/>
  <c r="S1863" i="5"/>
  <c r="V91" i="5"/>
  <c r="V189" i="5"/>
  <c r="R189" i="5" s="1"/>
  <c r="AB210" i="5"/>
  <c r="V243" i="5"/>
  <c r="X309" i="5" s="1"/>
  <c r="X357" i="5" s="1"/>
  <c r="V463" i="5"/>
  <c r="R463" i="5" s="1"/>
  <c r="G586" i="5"/>
  <c r="F586" i="5"/>
  <c r="I714" i="5"/>
  <c r="J714" i="5"/>
  <c r="T738" i="5"/>
  <c r="S738" i="5"/>
  <c r="AB170" i="5"/>
  <c r="S1497" i="5"/>
  <c r="T1497" i="5"/>
  <c r="X26" i="5" s="1"/>
  <c r="V102" i="5"/>
  <c r="V207" i="5"/>
  <c r="V262" i="5"/>
  <c r="AB262" i="5"/>
  <c r="AB298" i="5"/>
  <c r="S581" i="5"/>
  <c r="T581" i="5"/>
  <c r="T1447" i="5"/>
  <c r="AB1447" i="5"/>
  <c r="S1447" i="5"/>
  <c r="V43" i="5"/>
  <c r="R22" i="5"/>
  <c r="V87" i="5"/>
  <c r="H87" i="5" s="1"/>
  <c r="AB114" i="5"/>
  <c r="V306" i="5"/>
  <c r="V391" i="5"/>
  <c r="V574" i="5"/>
  <c r="F574" i="5" s="1"/>
  <c r="T641" i="5"/>
  <c r="S641" i="5"/>
  <c r="V194" i="5"/>
  <c r="I194" i="5" s="1"/>
  <c r="V314" i="5"/>
  <c r="V562" i="5"/>
  <c r="R562" i="5" s="1"/>
  <c r="I1848" i="5"/>
  <c r="H1848" i="5"/>
  <c r="V115" i="5"/>
  <c r="AB166" i="5"/>
  <c r="V201" i="5"/>
  <c r="R201" i="5" s="1"/>
  <c r="J552" i="5"/>
  <c r="H552" i="5"/>
  <c r="AB178" i="5"/>
  <c r="V215" i="5"/>
  <c r="J215" i="5" s="1"/>
  <c r="AB110" i="5"/>
  <c r="V71" i="5"/>
  <c r="H71" i="5" s="1"/>
  <c r="V103" i="5"/>
  <c r="AB150" i="5"/>
  <c r="AB186" i="5"/>
  <c r="V239" i="5"/>
  <c r="T601" i="5"/>
  <c r="S601" i="5"/>
  <c r="AB230" i="5"/>
  <c r="AB251" i="5"/>
  <c r="AB267" i="5"/>
  <c r="AB453" i="5"/>
  <c r="AB454" i="5"/>
  <c r="AB472" i="5"/>
  <c r="X527" i="5" s="1"/>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AB132" i="5"/>
  <c r="AB190" i="5"/>
  <c r="V191" i="5"/>
  <c r="AB263" i="5"/>
  <c r="X265" i="5" s="1"/>
  <c r="AB275" i="5"/>
  <c r="AB357" i="5"/>
  <c r="AB365" i="5"/>
  <c r="AB434"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V175" i="5"/>
  <c r="T394"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AB207" i="5"/>
  <c r="AB215" i="5"/>
  <c r="J263" i="5"/>
  <c r="AB282" i="5"/>
  <c r="X301" i="5" s="1"/>
  <c r="AB356" i="5"/>
  <c r="AB451"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T567" i="5"/>
  <c r="E656" i="5"/>
  <c r="X656" i="5" s="1"/>
  <c r="R656" i="5"/>
  <c r="T690" i="5"/>
  <c r="S690" i="5"/>
  <c r="R796" i="5"/>
  <c r="I796" i="5"/>
  <c r="F796" i="5"/>
  <c r="E796" i="5"/>
  <c r="X796" i="5" s="1"/>
  <c r="AB122" i="5"/>
  <c r="AB174" i="5"/>
  <c r="AB219" i="5"/>
  <c r="AB239" i="5"/>
  <c r="AB278" i="5"/>
  <c r="AB316" i="5"/>
  <c r="AB396" i="5"/>
  <c r="AB404" i="5"/>
  <c r="AB414" i="5"/>
  <c r="AB422" i="5"/>
  <c r="AB458" i="5"/>
  <c r="AB468"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H227" i="5"/>
  <c r="X227" i="5" s="1"/>
  <c r="R227" i="5"/>
  <c r="J227" i="5"/>
  <c r="I227" i="5"/>
  <c r="J21" i="5"/>
  <c r="R229" i="5"/>
  <c r="X229" i="5" s="1"/>
  <c r="I37" i="5"/>
  <c r="AB140" i="5"/>
  <c r="V151" i="5"/>
  <c r="AB156" i="5"/>
  <c r="AB160" i="5"/>
  <c r="V163" i="5"/>
  <c r="AB204" i="5"/>
  <c r="AB211" i="5"/>
  <c r="V211" i="5"/>
  <c r="R231" i="5"/>
  <c r="V334" i="5"/>
  <c r="R360" i="5"/>
  <c r="X404" i="5" s="1"/>
  <c r="AB455" i="5"/>
  <c r="E548" i="5"/>
  <c r="X548" i="5" s="1"/>
  <c r="J548" i="5"/>
  <c r="H548" i="5"/>
  <c r="F548" i="5"/>
  <c r="V600" i="5"/>
  <c r="G600" i="5" s="1"/>
  <c r="R693" i="5"/>
  <c r="J693" i="5"/>
  <c r="H693" i="5"/>
  <c r="R699" i="5"/>
  <c r="H699" i="5"/>
  <c r="R704" i="5"/>
  <c r="H704" i="5"/>
  <c r="AB222" i="5"/>
  <c r="AB254" i="5"/>
  <c r="AB258" i="5"/>
  <c r="AB270" i="5"/>
  <c r="V277" i="5"/>
  <c r="V290" i="5"/>
  <c r="AB363" i="5"/>
  <c r="V435" i="5"/>
  <c r="E620" i="5"/>
  <c r="X620" i="5" s="1"/>
  <c r="R620" i="5"/>
  <c r="J620" i="5"/>
  <c r="F620" i="5"/>
  <c r="G620" i="5"/>
  <c r="AB307" i="5"/>
  <c r="V411" i="5"/>
  <c r="X34" i="5" s="1"/>
  <c r="AB118" i="5"/>
  <c r="AB130" i="5"/>
  <c r="X138" i="5" s="1"/>
  <c r="AB182" i="5"/>
  <c r="AB194" i="5"/>
  <c r="X202" i="5" s="1"/>
  <c r="V293" i="5"/>
  <c r="AB315" i="5"/>
  <c r="AB330" i="5"/>
  <c r="AB395" i="5"/>
  <c r="R532" i="5"/>
  <c r="T565" i="5"/>
  <c r="S565" i="5"/>
  <c r="E660" i="5"/>
  <c r="X660" i="5" s="1"/>
  <c r="R660" i="5"/>
  <c r="F660" i="5"/>
  <c r="AB867" i="5"/>
  <c r="V867" i="5"/>
  <c r="J867" i="5" s="1"/>
  <c r="T1003" i="5"/>
  <c r="S1003" i="5"/>
  <c r="AB1003" i="5"/>
  <c r="AB290" i="5"/>
  <c r="AB26" i="5"/>
  <c r="AB22" i="5"/>
  <c r="AB108" i="5"/>
  <c r="X111" i="5" s="1"/>
  <c r="AB124" i="5"/>
  <c r="AB128" i="5"/>
  <c r="AB146" i="5"/>
  <c r="AB172" i="5"/>
  <c r="X175" i="5" s="1"/>
  <c r="AB188" i="5"/>
  <c r="AB192" i="5"/>
  <c r="AB206" i="5"/>
  <c r="AB214" i="5"/>
  <c r="AB226" i="5"/>
  <c r="X231" i="5" s="1"/>
  <c r="V261" i="5"/>
  <c r="AB294" i="5"/>
  <c r="V305" i="5"/>
  <c r="AB337" i="5"/>
  <c r="X353" i="5" s="1"/>
  <c r="AB383" i="5"/>
  <c r="V395" i="5"/>
  <c r="I416" i="5"/>
  <c r="H416" i="5"/>
  <c r="V419" i="5"/>
  <c r="AB471" i="5"/>
  <c r="AB477" i="5"/>
  <c r="AB529" i="5"/>
  <c r="R606" i="5"/>
  <c r="F606" i="5"/>
  <c r="J642" i="5"/>
  <c r="R642" i="5"/>
  <c r="G642" i="5"/>
  <c r="F642" i="5"/>
  <c r="H844" i="5"/>
  <c r="J844" i="5"/>
  <c r="AB266" i="5"/>
  <c r="T266" i="5"/>
  <c r="V287" i="5"/>
  <c r="AB134" i="5"/>
  <c r="AB142" i="5"/>
  <c r="X145" i="5" s="1"/>
  <c r="T158" i="5"/>
  <c r="X161" i="5" s="1"/>
  <c r="AB198" i="5"/>
  <c r="AB306" i="5"/>
  <c r="AB323" i="5"/>
  <c r="AB349" i="5"/>
  <c r="AB381" i="5"/>
  <c r="V403" i="5"/>
  <c r="V443" i="5"/>
  <c r="X456" i="5" s="1"/>
  <c r="R760" i="5"/>
  <c r="I760" i="5"/>
  <c r="F760" i="5"/>
  <c r="E760" i="5"/>
  <c r="X760" i="5" s="1"/>
  <c r="AB138" i="5"/>
  <c r="AB154" i="5"/>
  <c r="AB158" i="5"/>
  <c r="AB202" i="5"/>
  <c r="T213" i="5"/>
  <c r="AB223" i="5"/>
  <c r="I231" i="5"/>
  <c r="X233" i="5" s="1"/>
  <c r="T237" i="5"/>
  <c r="AB238" i="5"/>
  <c r="H239" i="5"/>
  <c r="J239" i="5"/>
  <c r="X245" i="5" s="1"/>
  <c r="AB246" i="5"/>
  <c r="AB259" i="5"/>
  <c r="AB274" i="5"/>
  <c r="J313" i="5"/>
  <c r="H313" i="5"/>
  <c r="X313" i="5" s="1"/>
  <c r="R364" i="5"/>
  <c r="R566" i="5"/>
  <c r="F566" i="5"/>
  <c r="V602" i="5"/>
  <c r="G602" i="5" s="1"/>
  <c r="J638" i="5"/>
  <c r="R638" i="5"/>
  <c r="F638" i="5"/>
  <c r="G638" i="5"/>
  <c r="I726" i="5"/>
  <c r="F726" i="5"/>
  <c r="E726" i="5"/>
  <c r="X726" i="5" s="1"/>
  <c r="I742" i="5"/>
  <c r="F742" i="5"/>
  <c r="E742" i="5"/>
  <c r="X742" i="5" s="1"/>
  <c r="AB322" i="5"/>
  <c r="AB32" i="5"/>
  <c r="X37" i="5" s="1"/>
  <c r="I103" i="5"/>
  <c r="J115" i="5"/>
  <c r="AB162" i="5"/>
  <c r="I175" i="5"/>
  <c r="AB227" i="5"/>
  <c r="J231" i="5"/>
  <c r="AB247" i="5"/>
  <c r="V251" i="5"/>
  <c r="H263" i="5"/>
  <c r="I263" i="5"/>
  <c r="V297" i="5"/>
  <c r="AB314" i="5"/>
  <c r="AB331" i="5"/>
  <c r="V427" i="5"/>
  <c r="AB545" i="5"/>
  <c r="T545" i="5"/>
  <c r="S545"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AB311" i="5"/>
  <c r="AB319" i="5"/>
  <c r="AB327" i="5"/>
  <c r="AB344" i="5"/>
  <c r="AB347" i="5"/>
  <c r="R361" i="5"/>
  <c r="V365" i="5"/>
  <c r="V379" i="5"/>
  <c r="R379" i="5" s="1"/>
  <c r="AB388" i="5"/>
  <c r="V407" i="5"/>
  <c r="R407" i="5" s="1"/>
  <c r="V415" i="5"/>
  <c r="AB417" i="5"/>
  <c r="V423" i="5"/>
  <c r="H423" i="5" s="1"/>
  <c r="AB425" i="5"/>
  <c r="V431" i="5"/>
  <c r="AB433" i="5"/>
  <c r="V439" i="5"/>
  <c r="AB441" i="5"/>
  <c r="V447" i="5"/>
  <c r="AB449" i="5"/>
  <c r="V472" i="5"/>
  <c r="I472" i="5" s="1"/>
  <c r="AB489" i="5"/>
  <c r="AB501" i="5"/>
  <c r="AB505"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AB461" i="5"/>
  <c r="T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V524" i="5"/>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X302" i="5" s="1"/>
  <c r="V303" i="5"/>
  <c r="AB304" i="5"/>
  <c r="J314" i="5"/>
  <c r="AB371" i="5"/>
  <c r="AB387" i="5"/>
  <c r="AB391" i="5"/>
  <c r="AB392" i="5"/>
  <c r="AB399" i="5"/>
  <c r="AB460" i="5"/>
  <c r="AB462"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AB309" i="5"/>
  <c r="AB317" i="5"/>
  <c r="AB325" i="5"/>
  <c r="AB335" i="5"/>
  <c r="AB413" i="5"/>
  <c r="AB421" i="5"/>
  <c r="AB429" i="5"/>
  <c r="AB437" i="5"/>
  <c r="AB445" i="5"/>
  <c r="X455" i="5" s="1"/>
  <c r="AB463" i="5"/>
  <c r="V496" i="5"/>
  <c r="AB504" i="5"/>
  <c r="T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AB497"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J5" i="5"/>
  <c r="F19" i="6"/>
  <c r="X341" i="5"/>
  <c r="X412" i="5"/>
  <c r="X304" i="5"/>
  <c r="AB23" i="5"/>
  <c r="X28" i="5"/>
  <c r="V112" i="5"/>
  <c r="AB115" i="5"/>
  <c r="V176" i="5"/>
  <c r="AB179" i="5"/>
  <c r="AB201" i="5"/>
  <c r="AB320" i="5"/>
  <c r="V320" i="5"/>
  <c r="AB412" i="5"/>
  <c r="AB105" i="5"/>
  <c r="AB137" i="5"/>
  <c r="V144" i="5"/>
  <c r="AB147" i="5"/>
  <c r="AB169" i="5"/>
  <c r="AB240" i="5"/>
  <c r="R311" i="5"/>
  <c r="H311" i="5"/>
  <c r="I311" i="5"/>
  <c r="X311" i="5" s="1"/>
  <c r="J311" i="5"/>
  <c r="T311" i="5" s="1"/>
  <c r="R5" i="5"/>
  <c r="H6" i="5"/>
  <c r="AB20" i="5"/>
  <c r="R21" i="5"/>
  <c r="H22" i="5"/>
  <c r="AB28" i="5"/>
  <c r="AB34" i="5"/>
  <c r="AB38" i="5"/>
  <c r="AB42" i="5"/>
  <c r="AB46" i="5"/>
  <c r="AB50" i="5"/>
  <c r="AB54" i="5"/>
  <c r="AB58" i="5"/>
  <c r="AB62" i="5"/>
  <c r="AB66" i="5"/>
  <c r="AB70" i="5"/>
  <c r="AB74" i="5"/>
  <c r="AB78" i="5"/>
  <c r="AB82" i="5"/>
  <c r="AB86" i="5"/>
  <c r="AB90" i="5"/>
  <c r="AB94" i="5"/>
  <c r="AB98" i="5"/>
  <c r="AB104" i="5"/>
  <c r="AB117" i="5"/>
  <c r="V124" i="5"/>
  <c r="X125" i="5" s="1"/>
  <c r="AB127" i="5"/>
  <c r="AB136" i="5"/>
  <c r="AB149" i="5"/>
  <c r="V156" i="5"/>
  <c r="X157" i="5" s="1"/>
  <c r="AB159" i="5"/>
  <c r="AB168" i="5"/>
  <c r="AB181" i="5"/>
  <c r="V188" i="5"/>
  <c r="X189" i="5" s="1"/>
  <c r="AB191" i="5"/>
  <c r="AB200" i="5"/>
  <c r="AB220" i="5"/>
  <c r="AB244" i="5"/>
  <c r="AB260" i="5"/>
  <c r="T260" i="5"/>
  <c r="AB276" i="5"/>
  <c r="AB292" i="5"/>
  <c r="AB5" i="5"/>
  <c r="I6" i="5"/>
  <c r="J18" i="5"/>
  <c r="AB21" i="5"/>
  <c r="AB29" i="5"/>
  <c r="AB35" i="5"/>
  <c r="AB39" i="5"/>
  <c r="AB43" i="5"/>
  <c r="AB47" i="5"/>
  <c r="AB51" i="5"/>
  <c r="AB55" i="5"/>
  <c r="AB59" i="5"/>
  <c r="AB63" i="5"/>
  <c r="AB67" i="5"/>
  <c r="AB71" i="5"/>
  <c r="AB75" i="5"/>
  <c r="AB79" i="5"/>
  <c r="AB83" i="5"/>
  <c r="AB87" i="5"/>
  <c r="AB91" i="5"/>
  <c r="AB95" i="5"/>
  <c r="T95" i="5"/>
  <c r="AB99" i="5"/>
  <c r="V104" i="5"/>
  <c r="AB107" i="5"/>
  <c r="AB116" i="5"/>
  <c r="AB129" i="5"/>
  <c r="V136" i="5"/>
  <c r="AB139" i="5"/>
  <c r="AB148" i="5"/>
  <c r="AB161" i="5"/>
  <c r="V168" i="5"/>
  <c r="AB171" i="5"/>
  <c r="AB180" i="5"/>
  <c r="AB193" i="5"/>
  <c r="V200" i="5"/>
  <c r="AB203" i="5"/>
  <c r="AB209" i="5"/>
  <c r="V220" i="5"/>
  <c r="AB360" i="5"/>
  <c r="X371" i="5" s="1"/>
  <c r="V116" i="5"/>
  <c r="AB119" i="5"/>
  <c r="V148" i="5"/>
  <c r="X149" i="5" s="1"/>
  <c r="AB151" i="5"/>
  <c r="AB173" i="5"/>
  <c r="V180" i="5"/>
  <c r="X181" i="5" s="1"/>
  <c r="AB183" i="5"/>
  <c r="AB205" i="5"/>
  <c r="AB212" i="5"/>
  <c r="AB248" i="5"/>
  <c r="AB264" i="5"/>
  <c r="AB280" i="5"/>
  <c r="AB296" i="5"/>
  <c r="AB328" i="5"/>
  <c r="V328" i="5"/>
  <c r="X351" i="5" s="1"/>
  <c r="AB358" i="5"/>
  <c r="V358" i="5"/>
  <c r="H20" i="5"/>
  <c r="I20" i="5"/>
  <c r="AB121" i="5"/>
  <c r="V128" i="5"/>
  <c r="AB131" i="5"/>
  <c r="AB153" i="5"/>
  <c r="V160" i="5"/>
  <c r="AB163" i="5"/>
  <c r="AB185" i="5"/>
  <c r="V192" i="5"/>
  <c r="AB195" i="5"/>
  <c r="V212" i="5"/>
  <c r="AB224" i="5"/>
  <c r="R262" i="5"/>
  <c r="AB408" i="5"/>
  <c r="AB109" i="5"/>
  <c r="X117" i="5" s="1"/>
  <c r="AB141" i="5"/>
  <c r="AB19" i="5"/>
  <c r="AB27" i="5"/>
  <c r="H18" i="5"/>
  <c r="AB36" i="5"/>
  <c r="AB40" i="5"/>
  <c r="AB44" i="5"/>
  <c r="AB48" i="5"/>
  <c r="AB52" i="5"/>
  <c r="AB56" i="5"/>
  <c r="AB60" i="5"/>
  <c r="AB64" i="5"/>
  <c r="AB68" i="5"/>
  <c r="AB72" i="5"/>
  <c r="AB76" i="5"/>
  <c r="AB80" i="5"/>
  <c r="AB84" i="5"/>
  <c r="AB88" i="5"/>
  <c r="AB92" i="5"/>
  <c r="AB96" i="5"/>
  <c r="AB100" i="5"/>
  <c r="AB101" i="5"/>
  <c r="V108" i="5"/>
  <c r="X109" i="5" s="1"/>
  <c r="AB111" i="5"/>
  <c r="AB120" i="5"/>
  <c r="AB133" i="5"/>
  <c r="V140" i="5"/>
  <c r="X141" i="5" s="1"/>
  <c r="AB143" i="5"/>
  <c r="AB152" i="5"/>
  <c r="AB165" i="5"/>
  <c r="V172" i="5"/>
  <c r="X173" i="5" s="1"/>
  <c r="AB175" i="5"/>
  <c r="AB184" i="5"/>
  <c r="AB197" i="5"/>
  <c r="V204" i="5"/>
  <c r="X205" i="5" s="1"/>
  <c r="X206" i="5" s="1"/>
  <c r="AB208" i="5"/>
  <c r="AB228" i="5"/>
  <c r="AB252" i="5"/>
  <c r="AB268" i="5"/>
  <c r="AB284" i="5"/>
  <c r="AB300" i="5"/>
  <c r="T300" i="5"/>
  <c r="AB303" i="5"/>
  <c r="AB312" i="5"/>
  <c r="V312" i="5"/>
  <c r="AB402" i="5"/>
  <c r="V402" i="5"/>
  <c r="J20" i="5"/>
  <c r="T20" i="5" s="1"/>
  <c r="V19" i="5" s="1"/>
  <c r="AB31" i="5"/>
  <c r="J22" i="5"/>
  <c r="AB25" i="5"/>
  <c r="AB37" i="5"/>
  <c r="AB45" i="5"/>
  <c r="AB53" i="5"/>
  <c r="AB57" i="5"/>
  <c r="AB61" i="5"/>
  <c r="AB65" i="5"/>
  <c r="AB69" i="5"/>
  <c r="AB73" i="5"/>
  <c r="AB81" i="5"/>
  <c r="AB89" i="5"/>
  <c r="V100" i="5"/>
  <c r="AB113" i="5"/>
  <c r="V120" i="5"/>
  <c r="X121" i="5" s="1"/>
  <c r="AB123" i="5"/>
  <c r="AB145" i="5"/>
  <c r="V152" i="5"/>
  <c r="X153" i="5" s="1"/>
  <c r="AB155" i="5"/>
  <c r="AB177" i="5"/>
  <c r="V184" i="5"/>
  <c r="X185" i="5" s="1"/>
  <c r="AB187" i="5"/>
  <c r="J189" i="5"/>
  <c r="V208" i="5"/>
  <c r="AB216" i="5"/>
  <c r="AB232" i="5"/>
  <c r="V339" i="5"/>
  <c r="X352" i="5" s="1"/>
  <c r="AB361" i="5"/>
  <c r="T361" i="5"/>
  <c r="J6" i="5"/>
  <c r="AB33" i="5"/>
  <c r="J37" i="5"/>
  <c r="H37" i="5"/>
  <c r="AB41" i="5"/>
  <c r="AB49" i="5"/>
  <c r="AB77" i="5"/>
  <c r="AB85" i="5"/>
  <c r="AB93" i="5"/>
  <c r="AB97" i="5"/>
  <c r="I5" i="5"/>
  <c r="R18" i="5"/>
  <c r="I21" i="5"/>
  <c r="X22" i="5" s="1"/>
  <c r="T94" i="5"/>
  <c r="X96" i="5" s="1"/>
  <c r="R102" i="5"/>
  <c r="J102" i="5"/>
  <c r="AB103" i="5"/>
  <c r="AB112" i="5"/>
  <c r="AB125" i="5"/>
  <c r="V132" i="5"/>
  <c r="X133" i="5" s="1"/>
  <c r="AB135" i="5"/>
  <c r="AB144" i="5"/>
  <c r="AB157" i="5"/>
  <c r="V164" i="5"/>
  <c r="X165" i="5" s="1"/>
  <c r="AB167" i="5"/>
  <c r="AB176" i="5"/>
  <c r="AB189" i="5"/>
  <c r="V196" i="5"/>
  <c r="X197" i="5" s="1"/>
  <c r="AB199" i="5"/>
  <c r="J201" i="5"/>
  <c r="T201" i="5" s="1"/>
  <c r="V216" i="5"/>
  <c r="H230" i="5"/>
  <c r="X230" i="5" s="1"/>
  <c r="R230" i="5"/>
  <c r="J230" i="5"/>
  <c r="I230" i="5"/>
  <c r="AB236" i="5"/>
  <c r="AB256" i="5"/>
  <c r="AB272" i="5"/>
  <c r="AB288" i="5"/>
  <c r="V359" i="5"/>
  <c r="AB336" i="5"/>
  <c r="X343" i="5" s="1"/>
  <c r="AB350" i="5"/>
  <c r="V350" i="5"/>
  <c r="AB373" i="5"/>
  <c r="V375" i="5"/>
  <c r="X376" i="5" s="1"/>
  <c r="AB382" i="5"/>
  <c r="V382" i="5"/>
  <c r="AB385" i="5"/>
  <c r="R391" i="5"/>
  <c r="J391" i="5"/>
  <c r="T391" i="5" s="1"/>
  <c r="H391" i="5"/>
  <c r="R531" i="5"/>
  <c r="X531" i="5" s="1"/>
  <c r="AB213" i="5"/>
  <c r="AB217" i="5"/>
  <c r="AB221" i="5"/>
  <c r="V224" i="5"/>
  <c r="AB225" i="5"/>
  <c r="V228" i="5"/>
  <c r="H229" i="5"/>
  <c r="AB229" i="5"/>
  <c r="V232" i="5"/>
  <c r="AB233" i="5"/>
  <c r="V236" i="5"/>
  <c r="AB237" i="5"/>
  <c r="V240" i="5"/>
  <c r="AB241" i="5"/>
  <c r="V244" i="5"/>
  <c r="AB245" i="5"/>
  <c r="V248" i="5"/>
  <c r="AB249" i="5"/>
  <c r="V252" i="5"/>
  <c r="AB253" i="5"/>
  <c r="V256" i="5"/>
  <c r="AB257" i="5"/>
  <c r="V260" i="5"/>
  <c r="H261" i="5"/>
  <c r="AB261" i="5"/>
  <c r="V264" i="5"/>
  <c r="H265" i="5"/>
  <c r="AB265" i="5"/>
  <c r="V268" i="5"/>
  <c r="AB269" i="5"/>
  <c r="V272" i="5"/>
  <c r="AB273" i="5"/>
  <c r="V276" i="5"/>
  <c r="AB277" i="5"/>
  <c r="V280" i="5"/>
  <c r="AB281" i="5"/>
  <c r="V284" i="5"/>
  <c r="AB285" i="5"/>
  <c r="V288" i="5"/>
  <c r="AB289" i="5"/>
  <c r="V292" i="5"/>
  <c r="AB293" i="5"/>
  <c r="V296" i="5"/>
  <c r="H297" i="5"/>
  <c r="AB297" i="5"/>
  <c r="V300" i="5"/>
  <c r="AB301" i="5"/>
  <c r="V308" i="5"/>
  <c r="AB310" i="5"/>
  <c r="V316" i="5"/>
  <c r="AB318" i="5"/>
  <c r="V324" i="5"/>
  <c r="AB326" i="5"/>
  <c r="AB332" i="5"/>
  <c r="AB343" i="5"/>
  <c r="AB353" i="5"/>
  <c r="V355" i="5"/>
  <c r="X356" i="5" s="1"/>
  <c r="H360" i="5"/>
  <c r="AB362" i="5"/>
  <c r="V362" i="5"/>
  <c r="AB375" i="5"/>
  <c r="AB389" i="5"/>
  <c r="R395" i="5"/>
  <c r="J395" i="5"/>
  <c r="T395" i="5" s="1"/>
  <c r="H395" i="5"/>
  <c r="T227" i="5"/>
  <c r="I229" i="5"/>
  <c r="T255" i="5"/>
  <c r="I261" i="5"/>
  <c r="I265" i="5"/>
  <c r="I297" i="5"/>
  <c r="AB305" i="5"/>
  <c r="AB313" i="5"/>
  <c r="AB321" i="5"/>
  <c r="AB329" i="5"/>
  <c r="AB342" i="5"/>
  <c r="V342" i="5"/>
  <c r="I360" i="5"/>
  <c r="V367" i="5"/>
  <c r="X368" i="5" s="1"/>
  <c r="AB374" i="5"/>
  <c r="V374" i="5"/>
  <c r="AB386" i="5"/>
  <c r="V386" i="5"/>
  <c r="T392" i="5"/>
  <c r="AB393" i="5"/>
  <c r="J229" i="5"/>
  <c r="J261" i="5"/>
  <c r="J265" i="5"/>
  <c r="J297" i="5"/>
  <c r="T297" i="5" s="1"/>
  <c r="AB333" i="5"/>
  <c r="AB345" i="5"/>
  <c r="X347" i="5" s="1"/>
  <c r="AB354" i="5"/>
  <c r="V354" i="5"/>
  <c r="AB367" i="5"/>
  <c r="AB377" i="5"/>
  <c r="X379" i="5" s="1"/>
  <c r="X380" i="5" s="1"/>
  <c r="AB390" i="5"/>
  <c r="V390" i="5"/>
  <c r="AB397" i="5"/>
  <c r="R403" i="5"/>
  <c r="J403" i="5"/>
  <c r="H403" i="5"/>
  <c r="I542" i="5"/>
  <c r="H542" i="5"/>
  <c r="E542" i="5"/>
  <c r="X542" i="5" s="1"/>
  <c r="R542" i="5"/>
  <c r="J542" i="5"/>
  <c r="G542" i="5"/>
  <c r="F542" i="5"/>
  <c r="I314" i="5"/>
  <c r="AB338" i="5"/>
  <c r="X360" i="5" s="1"/>
  <c r="J360" i="5"/>
  <c r="T360" i="5" s="1"/>
  <c r="H364" i="5"/>
  <c r="AB366" i="5"/>
  <c r="V366" i="5"/>
  <c r="AB394" i="5"/>
  <c r="V394" i="5"/>
  <c r="AB401" i="5"/>
  <c r="AB416" i="5"/>
  <c r="R515" i="5"/>
  <c r="J515" i="5"/>
  <c r="I515" i="5"/>
  <c r="H515" i="5"/>
  <c r="X515" i="5" s="1"/>
  <c r="I313" i="5"/>
  <c r="X314" i="5" s="1"/>
  <c r="AB334" i="5"/>
  <c r="X338" i="5" s="1"/>
  <c r="AB339" i="5"/>
  <c r="V340" i="5"/>
  <c r="AB346" i="5"/>
  <c r="V346" i="5"/>
  <c r="AB359" i="5"/>
  <c r="AB369" i="5"/>
  <c r="X372" i="5" s="1"/>
  <c r="AB378" i="5"/>
  <c r="V378" i="5"/>
  <c r="AB398" i="5"/>
  <c r="V398" i="5"/>
  <c r="T404" i="5"/>
  <c r="AB405" i="5"/>
  <c r="AB409" i="5"/>
  <c r="AB351" i="5"/>
  <c r="AB352" i="5"/>
  <c r="R363" i="5"/>
  <c r="J363" i="5"/>
  <c r="H363" i="5"/>
  <c r="X364" i="5" s="1"/>
  <c r="J364" i="5"/>
  <c r="T364" i="5" s="1"/>
  <c r="AB370" i="5"/>
  <c r="V370" i="5"/>
  <c r="R387" i="5"/>
  <c r="J387" i="5"/>
  <c r="H387" i="5"/>
  <c r="AB406" i="5"/>
  <c r="V406" i="5"/>
  <c r="V410" i="5"/>
  <c r="V414" i="5"/>
  <c r="H415" i="5"/>
  <c r="J416" i="5"/>
  <c r="T416" i="5" s="1"/>
  <c r="V418" i="5"/>
  <c r="H419" i="5"/>
  <c r="V422" i="5"/>
  <c r="V426" i="5"/>
  <c r="V430" i="5"/>
  <c r="V434" i="5"/>
  <c r="V438" i="5"/>
  <c r="V442" i="5"/>
  <c r="H443" i="5"/>
  <c r="V446" i="5"/>
  <c r="H447" i="5"/>
  <c r="V450" i="5"/>
  <c r="V454" i="5"/>
  <c r="V458" i="5"/>
  <c r="AB466" i="5"/>
  <c r="AB474"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V474" i="5"/>
  <c r="V477" i="5"/>
  <c r="AB478" i="5"/>
  <c r="AB483" i="5"/>
  <c r="X484" i="5" s="1"/>
  <c r="V493" i="5"/>
  <c r="AB494" i="5"/>
  <c r="AB499" i="5"/>
  <c r="X500" i="5" s="1"/>
  <c r="V509" i="5"/>
  <c r="AB510" i="5"/>
  <c r="AB515" i="5"/>
  <c r="X516" i="5" s="1"/>
  <c r="V525" i="5"/>
  <c r="AB526" i="5"/>
  <c r="AB531" i="5"/>
  <c r="X532" i="5" s="1"/>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J443" i="5"/>
  <c r="J447" i="5"/>
  <c r="V462" i="5"/>
  <c r="H463" i="5"/>
  <c r="V490" i="5"/>
  <c r="V506" i="5"/>
  <c r="V522" i="5"/>
  <c r="H535" i="5"/>
  <c r="F536" i="5"/>
  <c r="V538" i="5"/>
  <c r="R543" i="5"/>
  <c r="J543" i="5"/>
  <c r="G546" i="5"/>
  <c r="T548" i="5"/>
  <c r="S548" i="5"/>
  <c r="H555" i="5"/>
  <c r="J562" i="5"/>
  <c r="I562" i="5"/>
  <c r="H562" i="5"/>
  <c r="E562" i="5"/>
  <c r="X562" i="5" s="1"/>
  <c r="T580" i="5"/>
  <c r="S580" i="5"/>
  <c r="AB580" i="5"/>
  <c r="J586" i="5"/>
  <c r="I586" i="5"/>
  <c r="H586" i="5"/>
  <c r="E586" i="5"/>
  <c r="X586" i="5" s="1"/>
  <c r="R415" i="5"/>
  <c r="R419" i="5"/>
  <c r="R443" i="5"/>
  <c r="R447" i="5"/>
  <c r="I463" i="5"/>
  <c r="V469" i="5"/>
  <c r="AB479" i="5"/>
  <c r="X480" i="5" s="1"/>
  <c r="AB484" i="5"/>
  <c r="V489" i="5"/>
  <c r="AB490" i="5"/>
  <c r="AB495" i="5"/>
  <c r="X496" i="5" s="1"/>
  <c r="I496" i="5"/>
  <c r="AB500" i="5"/>
  <c r="V505" i="5"/>
  <c r="AB506" i="5"/>
  <c r="AB511" i="5"/>
  <c r="X512" i="5" s="1"/>
  <c r="AB516" i="5"/>
  <c r="V521" i="5"/>
  <c r="AB522" i="5"/>
  <c r="AB527" i="5"/>
  <c r="X528" i="5" s="1"/>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J463" i="5"/>
  <c r="V467" i="5"/>
  <c r="V475" i="5"/>
  <c r="V486" i="5"/>
  <c r="V502" i="5"/>
  <c r="V518" i="5"/>
  <c r="V534" i="5"/>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AB464" i="5"/>
  <c r="AB475" i="5"/>
  <c r="X476" i="5" s="1"/>
  <c r="AB480" i="5"/>
  <c r="V485" i="5"/>
  <c r="AB486" i="5"/>
  <c r="AB491" i="5"/>
  <c r="X492" i="5" s="1"/>
  <c r="AB496" i="5"/>
  <c r="V501" i="5"/>
  <c r="AB502" i="5"/>
  <c r="AB507" i="5"/>
  <c r="X508" i="5" s="1"/>
  <c r="AB512" i="5"/>
  <c r="V517" i="5"/>
  <c r="AB518" i="5"/>
  <c r="AB523" i="5"/>
  <c r="X524" i="5" s="1"/>
  <c r="AB528" i="5"/>
  <c r="V533" i="5"/>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AB465" i="5"/>
  <c r="V473" i="5"/>
  <c r="AB476" i="5"/>
  <c r="V481" i="5"/>
  <c r="AB482" i="5"/>
  <c r="AB487" i="5"/>
  <c r="X488" i="5" s="1"/>
  <c r="AB492" i="5"/>
  <c r="V497" i="5"/>
  <c r="AB498" i="5"/>
  <c r="AB503" i="5"/>
  <c r="X504" i="5" s="1"/>
  <c r="AB508" i="5"/>
  <c r="V513" i="5"/>
  <c r="AB514" i="5"/>
  <c r="AB519" i="5"/>
  <c r="X520" i="5" s="1"/>
  <c r="AB524" i="5"/>
  <c r="V529" i="5"/>
  <c r="AB530" i="5"/>
  <c r="T530"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363" i="5"/>
  <c r="S179" i="5"/>
  <c r="S516" i="5"/>
  <c r="S181" i="5"/>
  <c r="S438" i="5"/>
  <c r="S35" i="5"/>
  <c r="S156" i="5"/>
  <c r="S71" i="5"/>
  <c r="S391" i="5"/>
  <c r="S184" i="5"/>
  <c r="S487" i="5"/>
  <c r="S215" i="5"/>
  <c r="S27" i="5"/>
  <c r="S445" i="5"/>
  <c r="S407" i="5"/>
  <c r="S385" i="5"/>
  <c r="S51" i="5"/>
  <c r="S274" i="5"/>
  <c r="S244" i="5"/>
  <c r="S473" i="5"/>
  <c r="S36" i="5"/>
  <c r="S91" i="5"/>
  <c r="S489" i="5"/>
  <c r="S352" i="5"/>
  <c r="S290" i="5"/>
  <c r="S442" i="5"/>
  <c r="S400" i="5"/>
  <c r="S201" i="5"/>
  <c r="S381" i="5"/>
  <c r="S191" i="5"/>
  <c r="S252" i="5"/>
  <c r="S456" i="5"/>
  <c r="S268" i="5"/>
  <c r="T314" i="5"/>
  <c r="S488" i="5"/>
  <c r="S311" i="5"/>
  <c r="S358" i="5"/>
  <c r="S344" i="5"/>
  <c r="S475" i="5"/>
  <c r="S159" i="5"/>
  <c r="S64" i="5"/>
  <c r="T66" i="5"/>
  <c r="S119" i="5"/>
  <c r="T415" i="5"/>
  <c r="S237" i="5"/>
  <c r="S454" i="5"/>
  <c r="S320" i="5"/>
  <c r="S401" i="5"/>
  <c r="S124" i="5"/>
  <c r="S507" i="5"/>
  <c r="S374" i="5"/>
  <c r="S109" i="5"/>
  <c r="S481" i="5"/>
  <c r="S129" i="5"/>
  <c r="S286" i="5"/>
  <c r="S470" i="5"/>
  <c r="S312" i="5"/>
  <c r="S107" i="5"/>
  <c r="S314" i="5"/>
  <c r="S434" i="5"/>
  <c r="S132" i="5"/>
  <c r="T62" i="5"/>
  <c r="S440" i="5"/>
  <c r="S431" i="5"/>
  <c r="S199" i="5"/>
  <c r="T239" i="5"/>
  <c r="S396" i="5"/>
  <c r="S231" i="5"/>
  <c r="S127" i="5"/>
  <c r="S308" i="5"/>
  <c r="S222" i="5"/>
  <c r="S291" i="5"/>
  <c r="S511" i="5"/>
  <c r="S302" i="5"/>
  <c r="S240" i="5"/>
  <c r="S437" i="5"/>
  <c r="S472" i="5"/>
  <c r="S430" i="5"/>
  <c r="S193" i="5"/>
  <c r="S402" i="5"/>
  <c r="S495" i="5"/>
  <c r="T322" i="5"/>
  <c r="S395" i="5"/>
  <c r="S264" i="5"/>
  <c r="S436" i="5"/>
  <c r="S164" i="5"/>
  <c r="S520" i="5"/>
  <c r="T387" i="5"/>
  <c r="S361" i="5"/>
  <c r="T37" i="5"/>
  <c r="S177" i="5"/>
  <c r="S238" i="5"/>
  <c r="S318" i="5"/>
  <c r="S116" i="5"/>
  <c r="S460" i="5"/>
  <c r="S113" i="5"/>
  <c r="S100" i="5"/>
  <c r="S524" i="5"/>
  <c r="S531" i="5"/>
  <c r="S417" i="5"/>
  <c r="S378" i="5"/>
  <c r="S532" i="5"/>
  <c r="S89" i="5"/>
  <c r="S409" i="5"/>
  <c r="S337" i="5"/>
  <c r="S170" i="5"/>
  <c r="S424" i="5"/>
  <c r="S186" i="5"/>
  <c r="S349" i="5"/>
  <c r="S81" i="5"/>
  <c r="S47" i="5"/>
  <c r="S60" i="5"/>
  <c r="S296" i="5"/>
  <c r="S477" i="5"/>
  <c r="S137" i="5"/>
  <c r="S243" i="5"/>
  <c r="T263" i="5"/>
  <c r="S307" i="5"/>
  <c r="S503" i="5"/>
  <c r="S133" i="5"/>
  <c r="S248" i="5"/>
  <c r="T532" i="5"/>
  <c r="S79" i="5"/>
  <c r="S169" i="5"/>
  <c r="S360" i="5"/>
  <c r="S450" i="5"/>
  <c r="S59" i="5"/>
  <c r="S350" i="5"/>
  <c r="S500" i="5"/>
  <c r="S261" i="5"/>
  <c r="S85" i="5"/>
  <c r="S183" i="5"/>
  <c r="S229" i="5"/>
  <c r="S272" i="5"/>
  <c r="S288" i="5"/>
  <c r="S149" i="5"/>
  <c r="S295" i="5"/>
  <c r="S144" i="5"/>
  <c r="S29" i="5"/>
  <c r="S339" i="5"/>
  <c r="S389" i="5"/>
  <c r="S408" i="5"/>
  <c r="S57" i="5"/>
  <c r="S180" i="5"/>
  <c r="T303" i="5"/>
  <c r="S519" i="5"/>
  <c r="S72" i="5"/>
  <c r="S493" i="5"/>
  <c r="S293" i="5"/>
  <c r="S209" i="5"/>
  <c r="S255" i="5"/>
  <c r="S148" i="5"/>
  <c r="S471" i="5"/>
  <c r="S153" i="5"/>
  <c r="T229" i="5"/>
  <c r="S533" i="5"/>
  <c r="S398" i="5"/>
  <c r="S63" i="5"/>
  <c r="S348" i="5"/>
  <c r="T21" i="5"/>
  <c r="S258" i="5"/>
  <c r="S469" i="5"/>
  <c r="S117" i="5"/>
  <c r="S370" i="5"/>
  <c r="S171" i="5"/>
  <c r="S210" i="5"/>
  <c r="S160" i="5"/>
  <c r="S368" i="5"/>
  <c r="S260" i="5"/>
  <c r="S19" i="5"/>
  <c r="T265" i="5"/>
  <c r="S367" i="5"/>
  <c r="S254" i="5"/>
  <c r="S178" i="5"/>
  <c r="S226" i="5"/>
  <c r="S448" i="5"/>
  <c r="S270" i="5"/>
  <c r="S425" i="5"/>
  <c r="S185" i="5"/>
  <c r="S310" i="5"/>
  <c r="S150" i="5"/>
  <c r="S251" i="5"/>
  <c r="S416" i="5"/>
  <c r="S39" i="5"/>
  <c r="S464" i="5"/>
  <c r="T18" i="5"/>
  <c r="S334" i="5"/>
  <c r="S441" i="5"/>
  <c r="S65" i="5"/>
  <c r="S225" i="5"/>
  <c r="S43" i="5"/>
  <c r="S31" i="5"/>
  <c r="S33" i="5"/>
  <c r="S300" i="5"/>
  <c r="S239" i="5"/>
  <c r="S322" i="5"/>
  <c r="S45" i="5"/>
  <c r="S509" i="5"/>
  <c r="S341" i="5"/>
  <c r="S397" i="5"/>
  <c r="S111" i="5"/>
  <c r="S166" i="5"/>
  <c r="S61" i="5"/>
  <c r="T5" i="5"/>
  <c r="S306" i="5"/>
  <c r="S67" i="5"/>
  <c r="S355" i="5"/>
  <c r="S447" i="5"/>
  <c r="S125" i="5"/>
  <c r="S332" i="5"/>
  <c r="S68" i="5"/>
  <c r="S123" i="5"/>
  <c r="S23" i="5"/>
  <c r="S205" i="5"/>
  <c r="T301" i="5"/>
  <c r="S478" i="5"/>
  <c r="S267" i="5"/>
  <c r="S276" i="5"/>
  <c r="S24" i="5"/>
  <c r="S211" i="5"/>
  <c r="S390" i="5"/>
  <c r="S139" i="5"/>
  <c r="S187" i="5"/>
  <c r="S280" i="5"/>
  <c r="S121" i="5"/>
  <c r="S87" i="5"/>
  <c r="S99" i="5"/>
  <c r="S21" i="5"/>
  <c r="S491" i="5"/>
  <c r="S379" i="5"/>
  <c r="S294" i="5"/>
  <c r="S428" i="5"/>
  <c r="S101" i="5"/>
  <c r="S463" i="5"/>
  <c r="S528" i="5"/>
  <c r="S304" i="5"/>
  <c r="S228" i="5"/>
  <c r="S347" i="5"/>
  <c r="S336" i="5"/>
  <c r="T115" i="5"/>
  <c r="S115" i="5"/>
  <c r="S175" i="5"/>
  <c r="S484" i="5"/>
  <c r="S433" i="5"/>
  <c r="S423" i="5"/>
  <c r="S203" i="5"/>
  <c r="S446" i="5"/>
  <c r="S40" i="5"/>
  <c r="S77" i="5"/>
  <c r="S69" i="5"/>
  <c r="S455" i="5"/>
  <c r="S457" i="5"/>
  <c r="S163" i="5"/>
  <c r="S131" i="5"/>
  <c r="T230" i="5"/>
  <c r="S108" i="5"/>
  <c r="S444" i="5"/>
  <c r="S25" i="5"/>
  <c r="S523" i="5"/>
  <c r="S84" i="5"/>
  <c r="T215" i="5"/>
  <c r="S189" i="5"/>
  <c r="S155" i="5"/>
  <c r="S354" i="5"/>
  <c r="S207" i="5"/>
  <c r="S468" i="5"/>
  <c r="S435" i="5"/>
  <c r="S219" i="5"/>
  <c r="S504" i="5"/>
  <c r="S462" i="5"/>
  <c r="S324" i="5"/>
  <c r="S95" i="5"/>
  <c r="S422" i="5"/>
  <c r="S284" i="5"/>
  <c r="S165" i="5"/>
  <c r="T102" i="5"/>
  <c r="S517" i="5"/>
  <c r="S204" i="5"/>
  <c r="S188" i="5"/>
  <c r="S512" i="5"/>
  <c r="S527" i="5"/>
  <c r="S476" i="5"/>
  <c r="S419" i="5"/>
  <c r="S405" i="5"/>
  <c r="S245" i="5"/>
  <c r="S404" i="5"/>
  <c r="S73" i="5"/>
  <c r="S508" i="5"/>
  <c r="S415" i="5"/>
  <c r="S326" i="5"/>
  <c r="S382" i="5"/>
  <c r="S483" i="5"/>
  <c r="T63" i="5"/>
  <c r="S403" i="5"/>
  <c r="S387" i="5"/>
  <c r="S386" i="5"/>
  <c r="S393" i="5"/>
  <c r="S526" i="5"/>
  <c r="S480" i="5"/>
  <c r="S147" i="5"/>
  <c r="S380" i="5"/>
  <c r="S513" i="5"/>
  <c r="S342" i="5"/>
  <c r="S388" i="5"/>
  <c r="S41" i="5"/>
  <c r="S227" i="5"/>
  <c r="S384" i="5"/>
  <c r="S176" i="5"/>
  <c r="T261" i="5"/>
  <c r="S145" i="5"/>
  <c r="S195" i="5"/>
  <c r="S432" i="5"/>
  <c r="S30" i="5"/>
  <c r="S496" i="5"/>
  <c r="S103" i="5"/>
  <c r="S140" i="5"/>
  <c r="S26" i="5"/>
  <c r="S172" i="5"/>
  <c r="S410" i="5"/>
  <c r="S53" i="5"/>
  <c r="S292" i="5"/>
  <c r="S197" i="5"/>
  <c r="S340" i="5"/>
  <c r="S143" i="5"/>
  <c r="S443" i="5"/>
  <c r="S363" i="5"/>
  <c r="S266" i="5"/>
  <c r="S510" i="5"/>
  <c r="S83" i="5"/>
  <c r="S105" i="5"/>
  <c r="S411" i="5"/>
  <c r="S412" i="5"/>
  <c r="S330" i="5"/>
  <c r="S75" i="5"/>
  <c r="S80" i="5"/>
  <c r="S236" i="5"/>
  <c r="S37" i="5"/>
  <c r="S356" i="5"/>
  <c r="S399" i="5"/>
  <c r="S56" i="5"/>
  <c r="S392" i="5"/>
  <c r="S224" i="5"/>
  <c r="S371" i="5"/>
  <c r="S287" i="5"/>
  <c r="S420" i="5"/>
  <c r="S161" i="5"/>
  <c r="S452" i="5"/>
  <c r="S20" i="5"/>
  <c r="S530" i="5"/>
  <c r="S49" i="5"/>
  <c r="S212" i="5"/>
  <c r="S351" i="5"/>
  <c r="S494" i="5"/>
  <c r="S110" i="5"/>
  <c r="T207" i="5"/>
  <c r="S235" i="5"/>
  <c r="S459" i="5"/>
  <c r="T118" i="5"/>
  <c r="S247" i="5"/>
  <c r="S406" i="5"/>
  <c r="S141" i="5"/>
  <c r="S529" i="5"/>
  <c r="S55" i="5"/>
  <c r="S256" i="5"/>
  <c r="S479" i="5"/>
  <c r="S343" i="5"/>
  <c r="S426" i="5"/>
  <c r="S112" i="5"/>
  <c r="S152" i="5"/>
  <c r="S421" i="5"/>
  <c r="S299" i="5"/>
  <c r="T313" i="5"/>
  <c r="S359" i="5"/>
  <c r="S427" i="5"/>
  <c r="T22" i="5"/>
  <c r="S298" i="5"/>
  <c r="S32" i="5"/>
  <c r="S499" i="5"/>
  <c r="S429" i="5"/>
  <c r="S375" i="5"/>
  <c r="S167" i="5"/>
  <c r="S449" i="5"/>
  <c r="S223" i="5"/>
  <c r="S283" i="5"/>
  <c r="S413" i="5"/>
  <c r="S157" i="5"/>
  <c r="S135" i="5"/>
  <c r="S273" i="5"/>
  <c r="S418" i="5"/>
  <c r="S467" i="5"/>
  <c r="S271" i="5"/>
  <c r="S376" i="5"/>
  <c r="S275" i="5"/>
  <c r="S151" i="5"/>
  <c r="S485" i="5"/>
  <c r="S289" i="5"/>
  <c r="S372" i="5"/>
  <c r="S461" i="5"/>
  <c r="S173" i="5"/>
  <c r="T258" i="5"/>
  <c r="S316" i="5"/>
  <c r="S93" i="5"/>
  <c r="S328" i="5"/>
  <c r="S259" i="5"/>
  <c r="S97" i="5"/>
  <c r="T248" i="5"/>
  <c r="S232" i="5"/>
  <c r="S52" i="5"/>
  <c r="S28" i="5"/>
  <c r="T231" i="5"/>
  <c r="S453" i="5"/>
  <c r="S465" i="5"/>
  <c r="S279" i="5"/>
  <c r="S88" i="5"/>
  <c r="S492" i="5"/>
  <c r="S364" i="5"/>
  <c r="S439" i="5"/>
  <c r="S263" i="5"/>
  <c r="S18" i="5"/>
  <c r="C11" i="6" l="1"/>
  <c r="C4" i="6"/>
  <c r="C9" i="6"/>
  <c r="C8" i="6"/>
  <c r="C12" i="6"/>
  <c r="V36" i="5"/>
  <c r="V389" i="5"/>
  <c r="X399" i="5"/>
  <c r="X391" i="5"/>
  <c r="X519" i="5"/>
  <c r="X336" i="5"/>
  <c r="X24" i="5"/>
  <c r="X530" i="5"/>
  <c r="X503" i="5"/>
  <c r="X387" i="5"/>
  <c r="X403" i="5"/>
  <c r="X33" i="5"/>
  <c r="X64" i="5"/>
  <c r="X21" i="5"/>
  <c r="X395" i="5"/>
  <c r="V385" i="5"/>
  <c r="X214" i="5"/>
  <c r="X162" i="5"/>
  <c r="X114" i="5"/>
  <c r="X130" i="5"/>
  <c r="X218" i="5"/>
  <c r="X400" i="5"/>
  <c r="X115" i="5"/>
  <c r="X468" i="5"/>
  <c r="X68" i="5"/>
  <c r="X178" i="5"/>
  <c r="X396" i="5"/>
  <c r="X511" i="5"/>
  <c r="X267" i="5"/>
  <c r="X179" i="5"/>
  <c r="X325" i="5"/>
  <c r="X55" i="5"/>
  <c r="X39" i="5"/>
  <c r="X146" i="5"/>
  <c r="X81" i="5"/>
  <c r="X392" i="5"/>
  <c r="X62" i="5" s="1"/>
  <c r="V357" i="5"/>
  <c r="V310" i="5"/>
  <c r="V259" i="5"/>
  <c r="X451" i="5"/>
  <c r="C7" i="6"/>
  <c r="F27" i="6"/>
  <c r="B32" i="6"/>
  <c r="C10" i="6"/>
  <c r="R19" i="5"/>
  <c r="H19" i="5"/>
  <c r="I19" i="5"/>
  <c r="X20" i="5" s="1"/>
  <c r="J19" i="5"/>
  <c r="X19" i="5" s="1"/>
  <c r="H115" i="5"/>
  <c r="R115" i="5"/>
  <c r="I115" i="5"/>
  <c r="H1681" i="5"/>
  <c r="E1681" i="5"/>
  <c r="X1681" i="5" s="1"/>
  <c r="G1681" i="5"/>
  <c r="F1681" i="5"/>
  <c r="G1309" i="5"/>
  <c r="F1309" i="5"/>
  <c r="H1126" i="5"/>
  <c r="E1126" i="5"/>
  <c r="X1126" i="5" s="1"/>
  <c r="T515" i="5"/>
  <c r="V514" i="5" s="1"/>
  <c r="E2409" i="5"/>
  <c r="X2409" i="5" s="1"/>
  <c r="I2116" i="5"/>
  <c r="R1774" i="5"/>
  <c r="R1140" i="5"/>
  <c r="H869" i="5"/>
  <c r="G869" i="5"/>
  <c r="E852" i="5"/>
  <c r="X852" i="5" s="1"/>
  <c r="R754" i="5"/>
  <c r="J439" i="5"/>
  <c r="J411" i="5"/>
  <c r="J293" i="5"/>
  <c r="H27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1140" i="5"/>
  <c r="J580" i="5"/>
  <c r="E592" i="5"/>
  <c r="X592" i="5" s="1"/>
  <c r="I1842" i="5"/>
  <c r="E1855" i="5"/>
  <c r="X1855" i="5" s="1"/>
  <c r="R1811" i="5"/>
  <c r="G1774" i="5"/>
  <c r="F1471" i="5"/>
  <c r="R1317" i="5"/>
  <c r="I1086" i="5"/>
  <c r="I869" i="5"/>
  <c r="G852" i="5"/>
  <c r="H730" i="5"/>
  <c r="H592" i="5"/>
  <c r="R411" i="5"/>
  <c r="H439" i="5"/>
  <c r="H411" i="5"/>
  <c r="X330" i="5" s="1"/>
  <c r="I277" i="5"/>
  <c r="I730" i="5"/>
  <c r="R87" i="5"/>
  <c r="J1842" i="5"/>
  <c r="H1696" i="5"/>
  <c r="E1317" i="5"/>
  <c r="X1317" i="5" s="1"/>
  <c r="J1086" i="5"/>
  <c r="I524" i="5"/>
  <c r="R439" i="5"/>
  <c r="I293" i="5"/>
  <c r="J87" i="5"/>
  <c r="G2342" i="5"/>
  <c r="B30" i="6"/>
  <c r="B41" i="6"/>
  <c r="G41" i="6" s="1"/>
  <c r="B31" i="6"/>
  <c r="G31" i="6" s="1"/>
  <c r="J306" i="5"/>
  <c r="G644"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R207" i="5"/>
  <c r="X102" i="5" s="1"/>
  <c r="E1510" i="5"/>
  <c r="X1510" i="5" s="1"/>
  <c r="F1190" i="5"/>
  <c r="I983" i="5"/>
  <c r="J1292" i="5"/>
  <c r="G974" i="5"/>
  <c r="E974" i="5"/>
  <c r="X974" i="5" s="1"/>
  <c r="F749" i="5"/>
  <c r="J717" i="5"/>
  <c r="H640" i="5"/>
  <c r="H588" i="5"/>
  <c r="R435" i="5"/>
  <c r="H431" i="5"/>
  <c r="I281" i="5"/>
  <c r="I189"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H243"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H379" i="5"/>
  <c r="J330" i="5"/>
  <c r="R71" i="5"/>
  <c r="F2381" i="5"/>
  <c r="E2405" i="5"/>
  <c r="X2405" i="5" s="1"/>
  <c r="J2386" i="5"/>
  <c r="R2180" i="5"/>
  <c r="H2160" i="5"/>
  <c r="F2100" i="5"/>
  <c r="R1952" i="5"/>
  <c r="H2035" i="5"/>
  <c r="F1867" i="5"/>
  <c r="R1786" i="5"/>
  <c r="R1131" i="5"/>
  <c r="R1304" i="5"/>
  <c r="I971" i="5"/>
  <c r="F1074" i="5"/>
  <c r="F971" i="5"/>
  <c r="I817" i="5"/>
  <c r="I330" i="5"/>
  <c r="J379" i="5"/>
  <c r="T379" i="5" s="1"/>
  <c r="H201" i="5"/>
  <c r="G574" i="5"/>
  <c r="G1665" i="5"/>
  <c r="R2386" i="5"/>
  <c r="I2160" i="5"/>
  <c r="E1952" i="5"/>
  <c r="X1952" i="5" s="1"/>
  <c r="I2035" i="5"/>
  <c r="E1786" i="5"/>
  <c r="X1786" i="5" s="1"/>
  <c r="I1471" i="5"/>
  <c r="R1471" i="5"/>
  <c r="R971" i="5"/>
  <c r="H1145" i="5"/>
  <c r="H971" i="5"/>
  <c r="J817" i="5"/>
  <c r="R817" i="5"/>
  <c r="I201" i="5"/>
  <c r="G971" i="5"/>
  <c r="J71" i="5"/>
  <c r="T71" i="5" s="1"/>
  <c r="I7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T175" i="5" s="1"/>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X215" i="5" s="1"/>
  <c r="I215" i="5"/>
  <c r="R931" i="5"/>
  <c r="R1138" i="5"/>
  <c r="E867" i="5"/>
  <c r="X867" i="5" s="1"/>
  <c r="G891" i="5"/>
  <c r="G867" i="5"/>
  <c r="I679" i="5"/>
  <c r="J427" i="5"/>
  <c r="F2265" i="5"/>
  <c r="E2265" i="5"/>
  <c r="X2265" i="5" s="1"/>
  <c r="I2199" i="5"/>
  <c r="R2199" i="5"/>
  <c r="J2199" i="5"/>
  <c r="E1051" i="5"/>
  <c r="X1051" i="5" s="1"/>
  <c r="H1051" i="5"/>
  <c r="G1067" i="5"/>
  <c r="R578" i="5"/>
  <c r="F578" i="5"/>
  <c r="R306" i="5"/>
  <c r="H306" i="5"/>
  <c r="R243" i="5"/>
  <c r="J243" i="5"/>
  <c r="T243" i="5" s="1"/>
  <c r="I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T191" i="5" s="1"/>
  <c r="R191" i="5"/>
  <c r="I191" i="5"/>
  <c r="X191" i="5" s="1"/>
  <c r="H103" i="5"/>
  <c r="J103" i="5"/>
  <c r="R103" i="5"/>
  <c r="R314" i="5"/>
  <c r="H314" i="5"/>
  <c r="X207" i="5" s="1"/>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239" i="5"/>
  <c r="R239" i="5"/>
  <c r="X239" i="5" s="1"/>
  <c r="I391" i="5"/>
  <c r="H102" i="5"/>
  <c r="I102" i="5"/>
  <c r="F915" i="5"/>
  <c r="H712" i="5"/>
  <c r="H427" i="5"/>
  <c r="H194" i="5"/>
  <c r="I2213" i="5"/>
  <c r="R2213" i="5"/>
  <c r="J2213" i="5"/>
  <c r="H2213" i="5"/>
  <c r="F2213" i="5"/>
  <c r="J2381" i="5"/>
  <c r="I2381" i="5"/>
  <c r="E2381" i="5"/>
  <c r="X2381" i="5" s="1"/>
  <c r="J1309" i="5"/>
  <c r="I1309" i="5"/>
  <c r="J1325" i="5"/>
  <c r="F1325" i="5"/>
  <c r="H43" i="5"/>
  <c r="I43" i="5"/>
  <c r="X43" i="5" s="1"/>
  <c r="J43" i="5"/>
  <c r="R43" i="5"/>
  <c r="H91" i="5"/>
  <c r="R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X443" i="5" s="1"/>
  <c r="I443" i="5"/>
  <c r="H163" i="5"/>
  <c r="R163" i="5"/>
  <c r="J163" i="5"/>
  <c r="T163" i="5" s="1"/>
  <c r="I163" i="5"/>
  <c r="X163" i="5" s="1"/>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X423" i="5" s="1"/>
  <c r="I423" i="5"/>
  <c r="I379" i="5"/>
  <c r="R297" i="5"/>
  <c r="X297" i="5" s="1"/>
  <c r="J290" i="5"/>
  <c r="T290" i="5" s="1"/>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X365" i="5" s="1"/>
  <c r="R365" i="5"/>
  <c r="J365" i="5"/>
  <c r="T365" i="5" s="1"/>
  <c r="H279" i="5"/>
  <c r="X279" i="5" s="1"/>
  <c r="R279" i="5"/>
  <c r="J279" i="5"/>
  <c r="I279" i="5"/>
  <c r="R717" i="5"/>
  <c r="H717" i="5"/>
  <c r="H251" i="5"/>
  <c r="R251" i="5"/>
  <c r="J251" i="5"/>
  <c r="I251" i="5"/>
  <c r="X251" i="5" s="1"/>
  <c r="R293" i="5"/>
  <c r="X293" i="5" s="1"/>
  <c r="J334" i="5"/>
  <c r="H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X447" i="5" s="1"/>
  <c r="I447" i="5"/>
  <c r="X415" i="5" s="1"/>
  <c r="I415" i="5"/>
  <c r="I752" i="5"/>
  <c r="F752" i="5"/>
  <c r="R602" i="5"/>
  <c r="F602" i="5"/>
  <c r="R261" i="5"/>
  <c r="X261" i="5" s="1"/>
  <c r="R277" i="5"/>
  <c r="X277" i="5" s="1"/>
  <c r="E600" i="5"/>
  <c r="X600" i="5" s="1"/>
  <c r="R600" i="5"/>
  <c r="J600" i="5"/>
  <c r="F600" i="5"/>
  <c r="H151" i="5"/>
  <c r="R151" i="5"/>
  <c r="J151" i="5"/>
  <c r="I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X407" i="5" s="1"/>
  <c r="I407" i="5"/>
  <c r="H287" i="5"/>
  <c r="R287" i="5"/>
  <c r="J287" i="5"/>
  <c r="T287" i="5" s="1"/>
  <c r="I287" i="5"/>
  <c r="X287" i="5" s="1"/>
  <c r="X435" i="5" s="1"/>
  <c r="I435" i="5"/>
  <c r="H211" i="5"/>
  <c r="R211" i="5"/>
  <c r="J211" i="5"/>
  <c r="T211" i="5" s="1"/>
  <c r="I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X472" i="5" s="1"/>
  <c r="J472" i="5"/>
  <c r="H472" i="5"/>
  <c r="R472" i="5"/>
  <c r="X439" i="5" s="1"/>
  <c r="I439" i="5"/>
  <c r="R305" i="5"/>
  <c r="J305" i="5"/>
  <c r="I305" i="5"/>
  <c r="H305" i="5"/>
  <c r="X305" i="5" s="1"/>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T524" i="5" s="1"/>
  <c r="R524" i="5"/>
  <c r="H524" i="5"/>
  <c r="I403" i="5"/>
  <c r="X419" i="5" s="1"/>
  <c r="I419" i="5"/>
  <c r="I395" i="5"/>
  <c r="X411" i="5" s="1"/>
  <c r="I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R496" i="5"/>
  <c r="J496" i="5"/>
  <c r="G662" i="5"/>
  <c r="X303" i="5" s="1"/>
  <c r="G814" i="5"/>
  <c r="G576" i="5"/>
  <c r="X431" i="5" s="1"/>
  <c r="I431" i="5"/>
  <c r="X427" i="5" s="1"/>
  <c r="I427"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R529" i="5"/>
  <c r="J529" i="5"/>
  <c r="T529" i="5" s="1"/>
  <c r="I529" i="5"/>
  <c r="H529" i="5"/>
  <c r="X529" i="5" s="1"/>
  <c r="I486" i="5"/>
  <c r="H486" i="5"/>
  <c r="X486" i="5" s="1"/>
  <c r="R486" i="5"/>
  <c r="J486" i="5"/>
  <c r="R467" i="5"/>
  <c r="J467" i="5"/>
  <c r="I467" i="5"/>
  <c r="H467" i="5"/>
  <c r="R521" i="5"/>
  <c r="J521" i="5"/>
  <c r="T521" i="5" s="1"/>
  <c r="I521" i="5"/>
  <c r="H521" i="5"/>
  <c r="X521" i="5" s="1"/>
  <c r="J469" i="5"/>
  <c r="I469" i="5"/>
  <c r="H469" i="5"/>
  <c r="X469" i="5" s="1"/>
  <c r="R469" i="5"/>
  <c r="F541" i="5"/>
  <c r="R541" i="5"/>
  <c r="J541" i="5"/>
  <c r="I541" i="5"/>
  <c r="H541" i="5"/>
  <c r="E541" i="5"/>
  <c r="X541" i="5" s="1"/>
  <c r="R509" i="5"/>
  <c r="X509" i="5" s="1"/>
  <c r="I466" i="5"/>
  <c r="H466" i="5"/>
  <c r="R466" i="5"/>
  <c r="J466" i="5"/>
  <c r="R378" i="5"/>
  <c r="I378" i="5"/>
  <c r="H378" i="5"/>
  <c r="J378" i="5"/>
  <c r="X378" i="5" s="1"/>
  <c r="X340" i="5" s="1"/>
  <c r="J340" i="5"/>
  <c r="T340" i="5" s="1"/>
  <c r="R340" i="5"/>
  <c r="I340" i="5"/>
  <c r="H340" i="5"/>
  <c r="R394" i="5"/>
  <c r="X394" i="5" s="1"/>
  <c r="R374" i="5"/>
  <c r="I374" i="5"/>
  <c r="H374" i="5"/>
  <c r="J374" i="5"/>
  <c r="R355" i="5"/>
  <c r="J355" i="5"/>
  <c r="T355" i="5" s="1"/>
  <c r="X361" i="5" s="1"/>
  <c r="X393" i="5" s="1"/>
  <c r="H355" i="5"/>
  <c r="I355" i="5"/>
  <c r="X324" i="5" s="1"/>
  <c r="J324" i="5"/>
  <c r="R324" i="5"/>
  <c r="H324" i="5"/>
  <c r="I324" i="5"/>
  <c r="X300" i="5" s="1"/>
  <c r="R300" i="5"/>
  <c r="J292" i="5"/>
  <c r="T292" i="5" s="1"/>
  <c r="I292" i="5"/>
  <c r="H292" i="5"/>
  <c r="X292" i="5" s="1"/>
  <c r="R292" i="5"/>
  <c r="J284" i="5"/>
  <c r="I284" i="5"/>
  <c r="H284" i="5"/>
  <c r="X284" i="5" s="1"/>
  <c r="R284" i="5"/>
  <c r="J276" i="5"/>
  <c r="T276" i="5" s="1"/>
  <c r="I276" i="5"/>
  <c r="H276" i="5"/>
  <c r="X276" i="5" s="1"/>
  <c r="R276" i="5"/>
  <c r="J268" i="5"/>
  <c r="I268" i="5"/>
  <c r="H268" i="5"/>
  <c r="X268" i="5" s="1"/>
  <c r="R268" i="5"/>
  <c r="X260" i="5" s="1"/>
  <c r="R260" i="5"/>
  <c r="J252" i="5"/>
  <c r="T252" i="5" s="1"/>
  <c r="I252" i="5"/>
  <c r="H252" i="5"/>
  <c r="X252" i="5" s="1"/>
  <c r="R252" i="5"/>
  <c r="J244" i="5"/>
  <c r="T244" i="5" s="1"/>
  <c r="I244" i="5"/>
  <c r="H244" i="5"/>
  <c r="X244" i="5" s="1"/>
  <c r="R244" i="5"/>
  <c r="J236" i="5"/>
  <c r="I236" i="5"/>
  <c r="H236" i="5"/>
  <c r="X236" i="5" s="1"/>
  <c r="R236" i="5"/>
  <c r="J228" i="5"/>
  <c r="I228" i="5"/>
  <c r="H228" i="5"/>
  <c r="X228" i="5" s="1"/>
  <c r="R228" i="5"/>
  <c r="J132" i="5"/>
  <c r="H132" i="5"/>
  <c r="R132" i="5"/>
  <c r="I132" i="5"/>
  <c r="X132" i="5" s="1"/>
  <c r="R402" i="5"/>
  <c r="J402" i="5"/>
  <c r="I402" i="5"/>
  <c r="H402" i="5"/>
  <c r="X402" i="5" s="1"/>
  <c r="J204" i="5"/>
  <c r="H204" i="5"/>
  <c r="I204" i="5"/>
  <c r="X204" i="5" s="1"/>
  <c r="R204" i="5"/>
  <c r="R116" i="5"/>
  <c r="X116" i="5" s="1"/>
  <c r="J104" i="5"/>
  <c r="T104" i="5" s="1"/>
  <c r="H104" i="5"/>
  <c r="R104" i="5"/>
  <c r="I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X534" i="5" s="1"/>
  <c r="R534" i="5"/>
  <c r="F537" i="5"/>
  <c r="R537" i="5"/>
  <c r="J537" i="5"/>
  <c r="I537" i="5"/>
  <c r="H537" i="5"/>
  <c r="E537" i="5"/>
  <c r="X537" i="5" s="1"/>
  <c r="I538" i="5"/>
  <c r="H538" i="5"/>
  <c r="E538" i="5"/>
  <c r="X538" i="5" s="1"/>
  <c r="J538" i="5"/>
  <c r="G538" i="5"/>
  <c r="F538" i="5"/>
  <c r="R538" i="5"/>
  <c r="I522" i="5"/>
  <c r="H522" i="5"/>
  <c r="X522" i="5" s="1"/>
  <c r="J522" i="5"/>
  <c r="T522" i="5" s="1"/>
  <c r="R522" i="5"/>
  <c r="I506" i="5"/>
  <c r="H506" i="5"/>
  <c r="X506" i="5" s="1"/>
  <c r="J506" i="5"/>
  <c r="T506" i="5" s="1"/>
  <c r="R506" i="5"/>
  <c r="I490" i="5"/>
  <c r="H490" i="5"/>
  <c r="X490" i="5" s="1"/>
  <c r="J490" i="5"/>
  <c r="T490" i="5" s="1"/>
  <c r="R490" i="5"/>
  <c r="R398" i="5"/>
  <c r="J398" i="5"/>
  <c r="T398" i="5" s="1"/>
  <c r="I398" i="5"/>
  <c r="H398" i="5"/>
  <c r="X398" i="5" s="1"/>
  <c r="R362" i="5"/>
  <c r="I362" i="5"/>
  <c r="H362" i="5"/>
  <c r="J362" i="5"/>
  <c r="J184" i="5"/>
  <c r="H184" i="5"/>
  <c r="X184" i="5" s="1"/>
  <c r="R184" i="5"/>
  <c r="I184" i="5"/>
  <c r="X328" i="5" s="1"/>
  <c r="J328" i="5"/>
  <c r="T328" i="5" s="1"/>
  <c r="R328" i="5"/>
  <c r="I328" i="5"/>
  <c r="H328" i="5"/>
  <c r="J220" i="5"/>
  <c r="I220" i="5"/>
  <c r="H220" i="5"/>
  <c r="X220" i="5" s="1"/>
  <c r="R220" i="5"/>
  <c r="J176" i="5"/>
  <c r="H176" i="5"/>
  <c r="R176" i="5"/>
  <c r="I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X502" i="5" s="1"/>
  <c r="R502" i="5"/>
  <c r="J502" i="5"/>
  <c r="T502" i="5" s="1"/>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X518" i="5" s="1"/>
  <c r="R518" i="5"/>
  <c r="J518" i="5"/>
  <c r="R493" i="5"/>
  <c r="J493" i="5"/>
  <c r="I493" i="5"/>
  <c r="H493" i="5"/>
  <c r="X493" i="5" s="1"/>
  <c r="X442" i="5" s="1"/>
  <c r="R442" i="5"/>
  <c r="J442" i="5"/>
  <c r="I442" i="5"/>
  <c r="H442" i="5"/>
  <c r="R410" i="5"/>
  <c r="J410" i="5"/>
  <c r="I410" i="5"/>
  <c r="H410" i="5"/>
  <c r="X410" i="5" s="1"/>
  <c r="J216" i="5"/>
  <c r="I216" i="5"/>
  <c r="H216" i="5"/>
  <c r="X216" i="5" s="1"/>
  <c r="R216" i="5"/>
  <c r="J120" i="5"/>
  <c r="H120" i="5"/>
  <c r="X120" i="5" s="1"/>
  <c r="R120" i="5"/>
  <c r="I120" i="5"/>
  <c r="J140" i="5"/>
  <c r="T140" i="5" s="1"/>
  <c r="X142" i="5" s="1"/>
  <c r="H140" i="5"/>
  <c r="I140" i="5"/>
  <c r="X140" i="5" s="1"/>
  <c r="R140" i="5"/>
  <c r="J192" i="5"/>
  <c r="H192" i="5"/>
  <c r="R192" i="5"/>
  <c r="I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R473" i="5"/>
  <c r="J473" i="5"/>
  <c r="I473" i="5"/>
  <c r="H473" i="5"/>
  <c r="X473" i="5" s="1"/>
  <c r="R517" i="5"/>
  <c r="H517" i="5"/>
  <c r="X517" i="5" s="1"/>
  <c r="J517" i="5"/>
  <c r="I517" i="5"/>
  <c r="R475" i="5"/>
  <c r="J475" i="5"/>
  <c r="I475" i="5"/>
  <c r="H475" i="5"/>
  <c r="R525" i="5"/>
  <c r="J525" i="5"/>
  <c r="T525" i="5" s="1"/>
  <c r="I525" i="5"/>
  <c r="H525" i="5"/>
  <c r="X525" i="5" s="1"/>
  <c r="R477" i="5"/>
  <c r="J477" i="5"/>
  <c r="T477" i="5" s="1"/>
  <c r="I477" i="5"/>
  <c r="H477" i="5"/>
  <c r="X477" i="5" s="1"/>
  <c r="H585" i="5"/>
  <c r="F585" i="5"/>
  <c r="R585" i="5"/>
  <c r="J585" i="5"/>
  <c r="I585" i="5"/>
  <c r="E585" i="5"/>
  <c r="X585" i="5" s="1"/>
  <c r="R346" i="5"/>
  <c r="I346" i="5"/>
  <c r="H346" i="5"/>
  <c r="J346" i="5"/>
  <c r="R366" i="5"/>
  <c r="I366" i="5"/>
  <c r="H366" i="5"/>
  <c r="J366" i="5"/>
  <c r="R390" i="5"/>
  <c r="J390" i="5"/>
  <c r="I390" i="5"/>
  <c r="H390" i="5"/>
  <c r="X390" i="5" s="1"/>
  <c r="R386" i="5"/>
  <c r="J386" i="5"/>
  <c r="I386" i="5"/>
  <c r="H386" i="5"/>
  <c r="X386" i="5" s="1"/>
  <c r="X367" i="5" s="1"/>
  <c r="R367" i="5"/>
  <c r="J367" i="5"/>
  <c r="T367" i="5" s="1"/>
  <c r="H367" i="5"/>
  <c r="I367" i="5"/>
  <c r="R342" i="5"/>
  <c r="I342" i="5"/>
  <c r="H342" i="5"/>
  <c r="J342" i="5"/>
  <c r="J296" i="5"/>
  <c r="I296" i="5"/>
  <c r="H296" i="5"/>
  <c r="X296" i="5" s="1"/>
  <c r="R296" i="5"/>
  <c r="J288" i="5"/>
  <c r="I288" i="5"/>
  <c r="H288" i="5"/>
  <c r="X288" i="5" s="1"/>
  <c r="R288" i="5"/>
  <c r="J280" i="5"/>
  <c r="I280" i="5"/>
  <c r="H280" i="5"/>
  <c r="X280" i="5" s="1"/>
  <c r="R280" i="5"/>
  <c r="J272" i="5"/>
  <c r="I272" i="5"/>
  <c r="H272" i="5"/>
  <c r="X272" i="5" s="1"/>
  <c r="R272" i="5"/>
  <c r="J264" i="5"/>
  <c r="I264" i="5"/>
  <c r="H264" i="5"/>
  <c r="X264" i="5" s="1"/>
  <c r="R264" i="5"/>
  <c r="J256" i="5"/>
  <c r="T256" i="5" s="1"/>
  <c r="I256" i="5"/>
  <c r="H256" i="5"/>
  <c r="X256" i="5" s="1"/>
  <c r="R256" i="5"/>
  <c r="X248" i="5" s="1"/>
  <c r="R248" i="5"/>
  <c r="J240" i="5"/>
  <c r="I240" i="5"/>
  <c r="H240" i="5"/>
  <c r="X240" i="5" s="1"/>
  <c r="R240" i="5"/>
  <c r="J232" i="5"/>
  <c r="I232" i="5"/>
  <c r="H232" i="5"/>
  <c r="X232" i="5" s="1"/>
  <c r="R232" i="5"/>
  <c r="J224" i="5"/>
  <c r="T224" i="5" s="1"/>
  <c r="I224" i="5"/>
  <c r="H224" i="5"/>
  <c r="X224" i="5" s="1"/>
  <c r="R224" i="5"/>
  <c r="R382" i="5"/>
  <c r="I382" i="5"/>
  <c r="H382" i="5"/>
  <c r="J382" i="5"/>
  <c r="X382" i="5" s="1"/>
  <c r="X359" i="5" s="1"/>
  <c r="R359" i="5"/>
  <c r="J359" i="5"/>
  <c r="T359" i="5" s="1"/>
  <c r="H359" i="5"/>
  <c r="I359" i="5"/>
  <c r="J196" i="5"/>
  <c r="H196" i="5"/>
  <c r="R196" i="5"/>
  <c r="I196" i="5"/>
  <c r="X196" i="5" s="1"/>
  <c r="J208" i="5"/>
  <c r="H208" i="5"/>
  <c r="X208" i="5" s="1"/>
  <c r="I208" i="5"/>
  <c r="R208" i="5"/>
  <c r="J144" i="5"/>
  <c r="H144" i="5"/>
  <c r="R144" i="5"/>
  <c r="I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R501" i="5"/>
  <c r="H501" i="5"/>
  <c r="X501" i="5" s="1"/>
  <c r="J501" i="5"/>
  <c r="I501" i="5"/>
  <c r="H557" i="5"/>
  <c r="F557" i="5"/>
  <c r="R557" i="5"/>
  <c r="J557" i="5"/>
  <c r="I557" i="5"/>
  <c r="E557" i="5"/>
  <c r="X557" i="5" s="1"/>
  <c r="I462" i="5"/>
  <c r="R462" i="5"/>
  <c r="J462" i="5"/>
  <c r="T462" i="5" s="1"/>
  <c r="H462" i="5"/>
  <c r="X462" i="5" s="1"/>
  <c r="X460" i="5" s="1"/>
  <c r="R460" i="5"/>
  <c r="J460" i="5"/>
  <c r="I460" i="5"/>
  <c r="H460" i="5"/>
  <c r="X375" i="5" s="1"/>
  <c r="R375" i="5"/>
  <c r="J375" i="5"/>
  <c r="H375" i="5"/>
  <c r="I375" i="5"/>
  <c r="J124" i="5"/>
  <c r="H124" i="5"/>
  <c r="R124" i="5"/>
  <c r="I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R465" i="5"/>
  <c r="J465" i="5"/>
  <c r="I465" i="5"/>
  <c r="H465" i="5"/>
  <c r="X465" i="5" s="1"/>
  <c r="H561" i="5"/>
  <c r="F561" i="5"/>
  <c r="R561" i="5"/>
  <c r="E561" i="5"/>
  <c r="X561" i="5" s="1"/>
  <c r="J561" i="5"/>
  <c r="I561" i="5"/>
  <c r="H549" i="5"/>
  <c r="F549" i="5"/>
  <c r="R549" i="5"/>
  <c r="I549" i="5"/>
  <c r="E549" i="5"/>
  <c r="X549" i="5" s="1"/>
  <c r="J549" i="5"/>
  <c r="R489" i="5"/>
  <c r="J489" i="5"/>
  <c r="I489" i="5"/>
  <c r="H489" i="5"/>
  <c r="X489" i="5" s="1"/>
  <c r="X434" i="5" s="1"/>
  <c r="R434" i="5"/>
  <c r="J434" i="5"/>
  <c r="I434" i="5"/>
  <c r="H434" i="5"/>
  <c r="X426" i="5" s="1"/>
  <c r="R426" i="5"/>
  <c r="J426" i="5"/>
  <c r="I426" i="5"/>
  <c r="H426" i="5"/>
  <c r="R370" i="5"/>
  <c r="I370" i="5"/>
  <c r="H370" i="5"/>
  <c r="J370" i="5"/>
  <c r="R358" i="5"/>
  <c r="I358" i="5"/>
  <c r="H358" i="5"/>
  <c r="X358" i="5" s="1"/>
  <c r="J358" i="5"/>
  <c r="T358" i="5" s="1"/>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R513" i="5"/>
  <c r="J513" i="5"/>
  <c r="I513" i="5"/>
  <c r="H513" i="5"/>
  <c r="X513" i="5" s="1"/>
  <c r="J554" i="5"/>
  <c r="I554" i="5"/>
  <c r="H554" i="5"/>
  <c r="E554" i="5"/>
  <c r="X554" i="5" s="1"/>
  <c r="R554" i="5"/>
  <c r="F554" i="5"/>
  <c r="H581" i="5"/>
  <c r="F581" i="5"/>
  <c r="R581" i="5"/>
  <c r="J581" i="5"/>
  <c r="I581" i="5"/>
  <c r="E581" i="5"/>
  <c r="X581" i="5" s="1"/>
  <c r="R505" i="5"/>
  <c r="J505" i="5"/>
  <c r="I505" i="5"/>
  <c r="H505" i="5"/>
  <c r="X505" i="5" s="1"/>
  <c r="I597" i="5"/>
  <c r="H597" i="5"/>
  <c r="F597" i="5"/>
  <c r="R597" i="5"/>
  <c r="J597" i="5"/>
  <c r="E597" i="5"/>
  <c r="X597" i="5" s="1"/>
  <c r="G585" i="5"/>
  <c r="R354" i="5"/>
  <c r="I354" i="5"/>
  <c r="H354" i="5"/>
  <c r="X354" i="5" s="1"/>
  <c r="J354" i="5"/>
  <c r="J316" i="5"/>
  <c r="R316" i="5"/>
  <c r="H316" i="5"/>
  <c r="I316" i="5"/>
  <c r="J172" i="5"/>
  <c r="H172" i="5"/>
  <c r="I172" i="5"/>
  <c r="X172" i="5" s="1"/>
  <c r="R172" i="5"/>
  <c r="J160" i="5"/>
  <c r="H160" i="5"/>
  <c r="R160" i="5"/>
  <c r="I160" i="5"/>
  <c r="X160" i="5" s="1"/>
  <c r="J180" i="5"/>
  <c r="H180" i="5"/>
  <c r="R180" i="5"/>
  <c r="I180" i="5"/>
  <c r="X180" i="5" s="1"/>
  <c r="J200" i="5"/>
  <c r="H200" i="5"/>
  <c r="R200" i="5"/>
  <c r="I200" i="5"/>
  <c r="X200" i="5" s="1"/>
  <c r="J156" i="5"/>
  <c r="T156" i="5" s="1"/>
  <c r="H156" i="5"/>
  <c r="R156" i="5"/>
  <c r="I156" i="5"/>
  <c r="X156" i="5" s="1"/>
  <c r="X308" i="5" s="1"/>
  <c r="J308" i="5"/>
  <c r="R308" i="5"/>
  <c r="H308" i="5"/>
  <c r="I308" i="5"/>
  <c r="J100" i="5"/>
  <c r="H100" i="5"/>
  <c r="R100" i="5"/>
  <c r="I100" i="5"/>
  <c r="X312" i="5" s="1"/>
  <c r="J312" i="5"/>
  <c r="T312" i="5" s="1"/>
  <c r="R312" i="5"/>
  <c r="I312" i="5"/>
  <c r="H312" i="5"/>
  <c r="J188" i="5"/>
  <c r="H188" i="5"/>
  <c r="R188" i="5"/>
  <c r="I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R497" i="5"/>
  <c r="J497" i="5"/>
  <c r="I497" i="5"/>
  <c r="H497" i="5"/>
  <c r="X497" i="5" s="1"/>
  <c r="X458" i="5" s="1"/>
  <c r="R458" i="5"/>
  <c r="J458" i="5"/>
  <c r="I458" i="5"/>
  <c r="H458" i="5"/>
  <c r="X450" i="5" s="1"/>
  <c r="R450" i="5"/>
  <c r="J450" i="5"/>
  <c r="I450" i="5"/>
  <c r="H450" i="5"/>
  <c r="X418" i="5" s="1"/>
  <c r="R418" i="5"/>
  <c r="J418" i="5"/>
  <c r="I418" i="5"/>
  <c r="H418" i="5"/>
  <c r="R406" i="5"/>
  <c r="J406" i="5"/>
  <c r="I406" i="5"/>
  <c r="H406" i="5"/>
  <c r="X406" i="5" s="1"/>
  <c r="J148" i="5"/>
  <c r="H148" i="5"/>
  <c r="R148" i="5"/>
  <c r="I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R485" i="5"/>
  <c r="H485" i="5"/>
  <c r="X485" i="5" s="1"/>
  <c r="J485" i="5"/>
  <c r="I485" i="5"/>
  <c r="H553" i="5"/>
  <c r="F553" i="5"/>
  <c r="R553" i="5"/>
  <c r="J553" i="5"/>
  <c r="I553" i="5"/>
  <c r="E553" i="5"/>
  <c r="X553" i="5" s="1"/>
  <c r="X454" i="5" s="1"/>
  <c r="R454" i="5"/>
  <c r="J454" i="5"/>
  <c r="I454" i="5"/>
  <c r="H454" i="5"/>
  <c r="X446" i="5" s="1"/>
  <c r="R446" i="5"/>
  <c r="J446" i="5"/>
  <c r="I446" i="5"/>
  <c r="H446" i="5"/>
  <c r="X438" i="5" s="1"/>
  <c r="R438" i="5"/>
  <c r="J438" i="5"/>
  <c r="I438" i="5"/>
  <c r="H438" i="5"/>
  <c r="X430" i="5" s="1"/>
  <c r="R430" i="5"/>
  <c r="J430" i="5"/>
  <c r="I430" i="5"/>
  <c r="H430" i="5"/>
  <c r="X422" i="5" s="1"/>
  <c r="R422" i="5"/>
  <c r="J422" i="5"/>
  <c r="I422" i="5"/>
  <c r="H422" i="5"/>
  <c r="X414" i="5" s="1"/>
  <c r="R414" i="5"/>
  <c r="J414" i="5"/>
  <c r="T414" i="5" s="1"/>
  <c r="V413" i="5" s="1"/>
  <c r="I414" i="5"/>
  <c r="H414" i="5"/>
  <c r="J164" i="5"/>
  <c r="T164" i="5" s="1"/>
  <c r="H164" i="5"/>
  <c r="R164" i="5"/>
  <c r="I164" i="5"/>
  <c r="X164" i="5" s="1"/>
  <c r="X339" i="5" s="1"/>
  <c r="R339" i="5"/>
  <c r="H339" i="5"/>
  <c r="J339" i="5"/>
  <c r="T339" i="5" s="1"/>
  <c r="I339" i="5"/>
  <c r="J152" i="5"/>
  <c r="H152" i="5"/>
  <c r="X152" i="5" s="1"/>
  <c r="R152" i="5"/>
  <c r="I152" i="5"/>
  <c r="J212" i="5"/>
  <c r="I212" i="5"/>
  <c r="H212" i="5"/>
  <c r="X212" i="5" s="1"/>
  <c r="R212" i="5"/>
  <c r="J168" i="5"/>
  <c r="T168" i="5" s="1"/>
  <c r="H168" i="5"/>
  <c r="R168" i="5"/>
  <c r="I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R481" i="5"/>
  <c r="J481" i="5"/>
  <c r="I481" i="5"/>
  <c r="H481" i="5"/>
  <c r="X481" i="5" s="1"/>
  <c r="G589" i="5"/>
  <c r="R533" i="5"/>
  <c r="X533" i="5" s="1"/>
  <c r="H569" i="5"/>
  <c r="F569" i="5"/>
  <c r="R569" i="5"/>
  <c r="J569" i="5"/>
  <c r="I569" i="5"/>
  <c r="E569" i="5"/>
  <c r="X569" i="5" s="1"/>
  <c r="H573" i="5"/>
  <c r="F573" i="5"/>
  <c r="R573" i="5"/>
  <c r="J573" i="5"/>
  <c r="I573" i="5"/>
  <c r="E573" i="5"/>
  <c r="X573" i="5" s="1"/>
  <c r="I474" i="5"/>
  <c r="H474" i="5"/>
  <c r="R474" i="5"/>
  <c r="J474" i="5"/>
  <c r="G553" i="5"/>
  <c r="R350" i="5"/>
  <c r="I350" i="5"/>
  <c r="H350" i="5"/>
  <c r="J350" i="5"/>
  <c r="X350" i="5" s="1"/>
  <c r="J108" i="5"/>
  <c r="H108" i="5"/>
  <c r="I108" i="5"/>
  <c r="X108" i="5" s="1"/>
  <c r="R108" i="5"/>
  <c r="J128" i="5"/>
  <c r="H128" i="5"/>
  <c r="R128" i="5"/>
  <c r="I128" i="5"/>
  <c r="X128" i="5" s="1"/>
  <c r="J136" i="5"/>
  <c r="T136" i="5" s="1"/>
  <c r="H136" i="5"/>
  <c r="R136" i="5"/>
  <c r="I136" i="5"/>
  <c r="X136" i="5" s="1"/>
  <c r="X320" i="5" s="1"/>
  <c r="J320" i="5"/>
  <c r="T320" i="5" s="1"/>
  <c r="R320" i="5"/>
  <c r="I320" i="5"/>
  <c r="H320" i="5"/>
  <c r="J112" i="5"/>
  <c r="T112" i="5" s="1"/>
  <c r="H112" i="5"/>
  <c r="R112" i="5"/>
  <c r="I112" i="5"/>
  <c r="X112" i="5" s="1"/>
  <c r="T240" i="5"/>
  <c r="T124" i="5"/>
  <c r="T120" i="5"/>
  <c r="S6" i="5"/>
  <c r="T505" i="5"/>
  <c r="T280" i="5"/>
  <c r="T251" i="5"/>
  <c r="T87" i="5"/>
  <c r="T454" i="5"/>
  <c r="T268" i="5"/>
  <c r="T91" i="5"/>
  <c r="T386" i="5"/>
  <c r="T228" i="5"/>
  <c r="T277" i="5"/>
  <c r="T196" i="5"/>
  <c r="T486" i="5"/>
  <c r="T220" i="5"/>
  <c r="T469" i="5"/>
  <c r="T458" i="5"/>
  <c r="T293" i="5"/>
  <c r="T204" i="5"/>
  <c r="T160" i="5"/>
  <c r="T144" i="5"/>
  <c r="T279" i="5"/>
  <c r="T473" i="5"/>
  <c r="T128" i="5"/>
  <c r="T43" i="5"/>
  <c r="T518" i="5"/>
  <c r="T390" i="5"/>
  <c r="T305" i="5"/>
  <c r="T103" i="5"/>
  <c r="T192" i="5"/>
  <c r="T284" i="5"/>
  <c r="T194" i="5"/>
  <c r="T288" i="5"/>
  <c r="T19" i="5"/>
  <c r="T212" i="5"/>
  <c r="S5" i="5"/>
  <c r="T496" i="5"/>
  <c r="T232" i="5"/>
  <c r="T132" i="5"/>
  <c r="T501" i="5"/>
  <c r="T216" i="5"/>
  <c r="T151" i="5"/>
  <c r="T236" i="5"/>
  <c r="T497" i="5"/>
  <c r="T264" i="5"/>
  <c r="T334" i="5"/>
  <c r="T184" i="5"/>
  <c r="T208" i="5"/>
  <c r="T200" i="5"/>
  <c r="T306" i="5"/>
  <c r="T296" i="5"/>
  <c r="T272" i="5"/>
  <c r="T281" i="5"/>
  <c r="T472" i="5"/>
  <c r="T188" i="5"/>
  <c r="V119" i="5" l="1"/>
  <c r="X291" i="5"/>
  <c r="H385" i="5"/>
  <c r="X385" i="5" s="1"/>
  <c r="I385" i="5"/>
  <c r="R385" i="5"/>
  <c r="J385" i="5"/>
  <c r="V258" i="5"/>
  <c r="I259" i="5"/>
  <c r="H259" i="5"/>
  <c r="X259" i="5" s="1"/>
  <c r="R259" i="5"/>
  <c r="J259" i="5"/>
  <c r="T259" i="5" s="1"/>
  <c r="X316" i="5"/>
  <c r="T354" i="5"/>
  <c r="X342" i="5"/>
  <c r="T342" i="5"/>
  <c r="X366" i="5"/>
  <c r="T366" i="5"/>
  <c r="X475" i="5"/>
  <c r="T475" i="5"/>
  <c r="H50" i="6"/>
  <c r="D50" i="6" s="1"/>
  <c r="X362" i="5"/>
  <c r="X466" i="5"/>
  <c r="T466" i="5"/>
  <c r="R310" i="5"/>
  <c r="I310" i="5"/>
  <c r="J310" i="5"/>
  <c r="H310" i="5"/>
  <c r="X201" i="5"/>
  <c r="R514" i="5"/>
  <c r="J514" i="5"/>
  <c r="T514" i="5" s="1"/>
  <c r="I514" i="5"/>
  <c r="H514" i="5"/>
  <c r="X514" i="5" s="1"/>
  <c r="I357" i="5"/>
  <c r="R357" i="5"/>
  <c r="J357" i="5"/>
  <c r="T357" i="5" s="1"/>
  <c r="H357" i="5"/>
  <c r="X346" i="5"/>
  <c r="T346" i="5"/>
  <c r="X474" i="5"/>
  <c r="T474" i="5"/>
  <c r="X487" i="5" s="1"/>
  <c r="J413" i="5"/>
  <c r="H413" i="5"/>
  <c r="X420" i="5" s="1"/>
  <c r="I413" i="5"/>
  <c r="R413" i="5"/>
  <c r="X370" i="5"/>
  <c r="X374" i="5"/>
  <c r="X355" i="5" s="1"/>
  <c r="T389" i="5"/>
  <c r="V388" i="5" s="1"/>
  <c r="R389" i="5"/>
  <c r="X389" i="5" s="1"/>
  <c r="X467" i="5"/>
  <c r="R36" i="5"/>
  <c r="J36" i="5"/>
  <c r="H36" i="5"/>
  <c r="I36" i="5"/>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330" i="5"/>
  <c r="T385" i="5"/>
  <c r="S514" i="5"/>
  <c r="T374" i="5"/>
  <c r="T362" i="5"/>
  <c r="T310" i="5"/>
  <c r="S357" i="5"/>
  <c r="T370" i="5"/>
  <c r="T467" i="5"/>
  <c r="T413" i="5"/>
  <c r="V412" i="5" l="1"/>
  <c r="V356" i="5"/>
  <c r="V384" i="5"/>
  <c r="V309" i="5"/>
  <c r="T513" i="5"/>
  <c r="V512" i="5" s="1"/>
  <c r="V257" i="5"/>
  <c r="R258" i="5"/>
  <c r="R388" i="5"/>
  <c r="I388" i="5"/>
  <c r="H388" i="5"/>
  <c r="J388" i="5"/>
  <c r="C34" i="6"/>
  <c r="D34" i="6"/>
  <c r="V118" i="5"/>
  <c r="I119" i="5"/>
  <c r="X119" i="5" s="1"/>
  <c r="J119" i="5"/>
  <c r="T119" i="5" s="1"/>
  <c r="H119" i="5"/>
  <c r="R119" i="5"/>
  <c r="D31" i="6"/>
  <c r="C30" i="6"/>
  <c r="D30" i="6"/>
  <c r="C32" i="6"/>
  <c r="D32" i="6"/>
  <c r="R16" i="5"/>
  <c r="I10" i="5"/>
  <c r="R10" i="5"/>
  <c r="J10" i="5"/>
  <c r="H10" i="5"/>
  <c r="H13" i="5"/>
  <c r="R13" i="5"/>
  <c r="J13" i="5"/>
  <c r="I13" i="5"/>
  <c r="H7" i="5"/>
  <c r="R7" i="5"/>
  <c r="I7" i="5"/>
  <c r="J7" i="5"/>
  <c r="H17" i="5"/>
  <c r="I17" i="5"/>
  <c r="J17" i="5"/>
  <c r="R17" i="5"/>
  <c r="I12" i="5"/>
  <c r="J12" i="5"/>
  <c r="R12" i="5"/>
  <c r="H12" i="5"/>
  <c r="H9" i="5"/>
  <c r="J9" i="5"/>
  <c r="I9" i="5"/>
  <c r="R9" i="5"/>
  <c r="R8" i="5"/>
  <c r="H8" i="5"/>
  <c r="J8" i="5"/>
  <c r="I8" i="5"/>
  <c r="H15" i="5"/>
  <c r="J15" i="5"/>
  <c r="I15" i="5"/>
  <c r="R15" i="5"/>
  <c r="R11" i="5"/>
  <c r="I14" i="5"/>
  <c r="R14" i="5"/>
  <c r="J14" i="5"/>
  <c r="T14" i="5" s="1"/>
  <c r="H14" i="5"/>
  <c r="C49" i="6"/>
  <c r="C47" i="6"/>
  <c r="C60" i="6"/>
  <c r="D60" i="6"/>
  <c r="D58" i="6"/>
  <c r="C58" i="6"/>
  <c r="D63" i="6"/>
  <c r="C63" i="6"/>
  <c r="C62" i="6"/>
  <c r="D62" i="6"/>
  <c r="C54" i="6"/>
  <c r="D54" i="6"/>
  <c r="D57" i="6"/>
  <c r="C57" i="6"/>
  <c r="F56" i="6"/>
  <c r="H56" i="6" s="1"/>
  <c r="H55" i="6"/>
  <c r="D59" i="6"/>
  <c r="C59" i="6"/>
  <c r="T16" i="5"/>
  <c r="T9" i="5"/>
  <c r="T15" i="5"/>
  <c r="T12" i="5"/>
  <c r="T388" i="5"/>
  <c r="T10" i="5"/>
  <c r="T8" i="5"/>
  <c r="T36" i="5"/>
  <c r="T7" i="5"/>
  <c r="T11" i="5"/>
  <c r="T17" i="5"/>
  <c r="T13" i="5"/>
  <c r="V35" i="5" l="1"/>
  <c r="R118" i="5"/>
  <c r="X5" i="5" s="1"/>
  <c r="X257" i="5"/>
  <c r="R257" i="5"/>
  <c r="I257" i="5"/>
  <c r="H257" i="5"/>
  <c r="J257" i="5"/>
  <c r="V511" i="5"/>
  <c r="H512" i="5"/>
  <c r="R512" i="5"/>
  <c r="J512" i="5"/>
  <c r="T512" i="5" s="1"/>
  <c r="I512" i="5"/>
  <c r="R309" i="5"/>
  <c r="J309" i="5"/>
  <c r="H309" i="5"/>
  <c r="I309" i="5"/>
  <c r="X310" i="5" s="1"/>
  <c r="V383" i="5"/>
  <c r="I384" i="5"/>
  <c r="J384" i="5"/>
  <c r="R384" i="5"/>
  <c r="H384" i="5"/>
  <c r="V353" i="5"/>
  <c r="R356" i="5"/>
  <c r="H356" i="5"/>
  <c r="I356" i="5"/>
  <c r="J356" i="5"/>
  <c r="I412" i="5"/>
  <c r="R412" i="5"/>
  <c r="H412" i="5"/>
  <c r="X416" i="5" s="1"/>
  <c r="J412" i="5"/>
  <c r="T412" i="5" s="1"/>
  <c r="X13" i="5"/>
  <c r="X10" i="5"/>
  <c r="X9" i="5"/>
  <c r="X12" i="5"/>
  <c r="X14" i="5"/>
  <c r="X17" i="5"/>
  <c r="X11" i="5"/>
  <c r="X15" i="5"/>
  <c r="X8" i="5"/>
  <c r="X7" i="5"/>
  <c r="G69" i="6"/>
  <c r="X16" i="5"/>
  <c r="D55" i="6"/>
  <c r="C55" i="6"/>
  <c r="D56" i="6"/>
  <c r="C56" i="6"/>
  <c r="S7" i="5"/>
  <c r="S15" i="5"/>
  <c r="T309" i="5"/>
  <c r="S8" i="5"/>
  <c r="S14" i="5"/>
  <c r="S9" i="5"/>
  <c r="S12" i="5"/>
  <c r="S118" i="5"/>
  <c r="S257" i="5"/>
  <c r="S10" i="5"/>
  <c r="T411" i="5"/>
  <c r="S17" i="5"/>
  <c r="S16" i="5"/>
  <c r="S309" i="5"/>
  <c r="S13" i="5"/>
  <c r="S11" i="5"/>
  <c r="T384" i="5"/>
  <c r="T257" i="5"/>
  <c r="T356" i="5"/>
  <c r="V255" i="5" l="1"/>
  <c r="R255" i="5" s="1"/>
  <c r="V254" i="5" s="1"/>
  <c r="AB410" i="5"/>
  <c r="T410" i="5" s="1"/>
  <c r="V409" i="5" s="1"/>
  <c r="V117" i="5"/>
  <c r="H69" i="6"/>
  <c r="C69" i="6"/>
  <c r="J353" i="5"/>
  <c r="T353" i="5" s="1"/>
  <c r="X363" i="5" s="1"/>
  <c r="I353" i="5"/>
  <c r="R353" i="5"/>
  <c r="H353" i="5"/>
  <c r="R383" i="5"/>
  <c r="I383" i="5"/>
  <c r="J383" i="5"/>
  <c r="H383" i="5"/>
  <c r="I511" i="5"/>
  <c r="V510" i="5" s="1"/>
  <c r="H511" i="5"/>
  <c r="R511" i="5"/>
  <c r="J511" i="5"/>
  <c r="V34" i="5"/>
  <c r="H35" i="5"/>
  <c r="X35" i="5" s="1"/>
  <c r="J35" i="5"/>
  <c r="R35" i="5"/>
  <c r="I35" i="5"/>
  <c r="S353" i="5"/>
  <c r="T511" i="5"/>
  <c r="S383" i="5"/>
  <c r="T308" i="5"/>
  <c r="T35" i="5"/>
  <c r="T383" i="5"/>
  <c r="V352" i="5" l="1"/>
  <c r="V307" i="5"/>
  <c r="R34" i="5"/>
  <c r="I34" i="5"/>
  <c r="X49" i="5" s="1"/>
  <c r="J34" i="5"/>
  <c r="H34" i="5"/>
  <c r="X38" i="5" s="1"/>
  <c r="J117" i="5"/>
  <c r="T117" i="5" s="1"/>
  <c r="X122" i="5" s="1"/>
  <c r="I117" i="5"/>
  <c r="H117" i="5"/>
  <c r="R117" i="5"/>
  <c r="I409" i="5"/>
  <c r="J409" i="5"/>
  <c r="T409" i="5" s="1"/>
  <c r="V408" i="5" s="1"/>
  <c r="R409" i="5"/>
  <c r="H409" i="5"/>
  <c r="X409" i="5" s="1"/>
  <c r="X421" i="5" s="1"/>
  <c r="T509" i="5"/>
  <c r="V508" i="5" s="1"/>
  <c r="R510" i="5"/>
  <c r="I510" i="5"/>
  <c r="H510" i="5"/>
  <c r="X510" i="5" s="1"/>
  <c r="J510" i="5"/>
  <c r="T510" i="5" s="1"/>
  <c r="V253" i="5"/>
  <c r="H254" i="5"/>
  <c r="X254" i="5" s="1"/>
  <c r="R254" i="5"/>
  <c r="J254" i="5"/>
  <c r="I254" i="5"/>
  <c r="T34" i="5"/>
  <c r="S34" i="5"/>
  <c r="T116" i="5"/>
  <c r="T382" i="5"/>
  <c r="T254" i="5"/>
  <c r="V114" i="5" l="1"/>
  <c r="X36" i="5"/>
  <c r="V33" i="5"/>
  <c r="R33" i="5" s="1"/>
  <c r="V381" i="5"/>
  <c r="R408" i="5"/>
  <c r="T407" i="5" s="1"/>
  <c r="I408" i="5"/>
  <c r="H408" i="5"/>
  <c r="J408" i="5"/>
  <c r="T408" i="5" s="1"/>
  <c r="R253" i="5"/>
  <c r="I253" i="5"/>
  <c r="H253" i="5"/>
  <c r="J253" i="5"/>
  <c r="V351" i="5"/>
  <c r="J352" i="5"/>
  <c r="T352" i="5" s="1"/>
  <c r="I352" i="5"/>
  <c r="H352" i="5"/>
  <c r="R352" i="5"/>
  <c r="V507" i="5"/>
  <c r="R508" i="5"/>
  <c r="H508" i="5"/>
  <c r="J508" i="5"/>
  <c r="I508" i="5"/>
  <c r="R307" i="5"/>
  <c r="I307" i="5"/>
  <c r="X307" i="5" s="1"/>
  <c r="H307" i="5"/>
  <c r="J307" i="5"/>
  <c r="S305" i="5"/>
  <c r="T33" i="5"/>
  <c r="T307" i="5"/>
  <c r="S253" i="5"/>
  <c r="T406" i="5"/>
  <c r="T508" i="5"/>
  <c r="T253" i="5"/>
  <c r="V304" i="5" l="1"/>
  <c r="V405" i="5"/>
  <c r="V32" i="5"/>
  <c r="J381" i="5"/>
  <c r="R381" i="5"/>
  <c r="X388" i="5" s="1"/>
  <c r="I381" i="5"/>
  <c r="H381" i="5"/>
  <c r="X381" i="5" s="1"/>
  <c r="X408" i="5" s="1"/>
  <c r="T507" i="5"/>
  <c r="R507" i="5"/>
  <c r="T350" i="5"/>
  <c r="V349" i="5" s="1"/>
  <c r="R351" i="5"/>
  <c r="J351" i="5"/>
  <c r="T351" i="5" s="1"/>
  <c r="H351" i="5"/>
  <c r="I351" i="5"/>
  <c r="J114" i="5"/>
  <c r="R114" i="5"/>
  <c r="I114" i="5"/>
  <c r="X118" i="5" s="1"/>
  <c r="H114" i="5"/>
  <c r="S506" i="5"/>
  <c r="S114" i="5"/>
  <c r="T114" i="5"/>
  <c r="T381" i="5"/>
  <c r="V380" i="5" l="1"/>
  <c r="V113" i="5"/>
  <c r="I304" i="5"/>
  <c r="J304" i="5"/>
  <c r="T304" i="5" s="1"/>
  <c r="H304" i="5"/>
  <c r="R304" i="5"/>
  <c r="I349" i="5"/>
  <c r="J349" i="5"/>
  <c r="T349" i="5" s="1"/>
  <c r="V348" i="5" s="1"/>
  <c r="H349" i="5"/>
  <c r="X349" i="5" s="1"/>
  <c r="R349" i="5"/>
  <c r="R32" i="5"/>
  <c r="V31" i="5" s="1"/>
  <c r="J32" i="5"/>
  <c r="I32" i="5"/>
  <c r="H32" i="5"/>
  <c r="R405" i="5"/>
  <c r="S505" i="5"/>
  <c r="S303" i="5"/>
  <c r="T405" i="5"/>
  <c r="T32" i="5"/>
  <c r="V302" i="5" l="1"/>
  <c r="V504" i="5"/>
  <c r="V404" i="5"/>
  <c r="V347" i="5"/>
  <c r="R348" i="5"/>
  <c r="I348" i="5"/>
  <c r="H348" i="5"/>
  <c r="J348" i="5"/>
  <c r="T348" i="5" s="1"/>
  <c r="V30" i="5"/>
  <c r="H31" i="5"/>
  <c r="J31" i="5"/>
  <c r="I31" i="5"/>
  <c r="X113" i="5" s="1"/>
  <c r="R31" i="5"/>
  <c r="T378" i="5"/>
  <c r="V377" i="5" s="1"/>
  <c r="I380" i="5"/>
  <c r="R380" i="5"/>
  <c r="J380" i="5"/>
  <c r="H380" i="5"/>
  <c r="R113" i="5"/>
  <c r="I113" i="5"/>
  <c r="J113" i="5"/>
  <c r="H113" i="5"/>
  <c r="T113" i="5"/>
  <c r="T380" i="5"/>
  <c r="V111" i="5" l="1"/>
  <c r="X377" i="5"/>
  <c r="I377" i="5"/>
  <c r="R377" i="5"/>
  <c r="J377" i="5"/>
  <c r="H377" i="5"/>
  <c r="I30" i="5"/>
  <c r="V29" i="5" s="1"/>
  <c r="R30" i="5"/>
  <c r="H30" i="5"/>
  <c r="J30" i="5"/>
  <c r="I347" i="5"/>
  <c r="J347" i="5"/>
  <c r="R347" i="5"/>
  <c r="H347" i="5"/>
  <c r="X348" i="5" s="1"/>
  <c r="T403" i="5"/>
  <c r="R404" i="5"/>
  <c r="J504" i="5"/>
  <c r="R504" i="5"/>
  <c r="H504" i="5"/>
  <c r="I504" i="5"/>
  <c r="X31" i="5"/>
  <c r="V301" i="5"/>
  <c r="J302" i="5"/>
  <c r="I302" i="5"/>
  <c r="H302" i="5"/>
  <c r="R302" i="5"/>
  <c r="T302" i="5"/>
  <c r="T402" i="5"/>
  <c r="T377" i="5"/>
  <c r="S377" i="5"/>
  <c r="T31" i="5"/>
  <c r="T347" i="5"/>
  <c r="T30" i="5"/>
  <c r="V401" i="5" l="1"/>
  <c r="X32" i="5"/>
  <c r="V376" i="5"/>
  <c r="H29" i="5"/>
  <c r="V28" i="5" s="1"/>
  <c r="J29" i="5"/>
  <c r="R29" i="5"/>
  <c r="I29" i="5"/>
  <c r="X30" i="5" s="1"/>
  <c r="V503" i="5"/>
  <c r="T504" i="5"/>
  <c r="R301" i="5"/>
  <c r="J111" i="5"/>
  <c r="H111" i="5"/>
  <c r="R111" i="5"/>
  <c r="I111" i="5"/>
  <c r="S301" i="5"/>
  <c r="S346" i="5"/>
  <c r="T29" i="5"/>
  <c r="V345" i="5" l="1"/>
  <c r="V299" i="5"/>
  <c r="I503" i="5"/>
  <c r="J503" i="5"/>
  <c r="H503" i="5"/>
  <c r="R503" i="5"/>
  <c r="V110" i="5"/>
  <c r="T375" i="5"/>
  <c r="V373" i="5" s="1"/>
  <c r="R376" i="5"/>
  <c r="I376" i="5"/>
  <c r="J376" i="5"/>
  <c r="H376" i="5"/>
  <c r="I28" i="5"/>
  <c r="R28" i="5"/>
  <c r="J28" i="5"/>
  <c r="H28" i="5"/>
  <c r="J401" i="5"/>
  <c r="T401" i="5" s="1"/>
  <c r="V400" i="5" s="1"/>
  <c r="I401" i="5"/>
  <c r="H401" i="5"/>
  <c r="X401" i="5" s="1"/>
  <c r="R401" i="5"/>
  <c r="T376" i="5"/>
  <c r="T111" i="5"/>
  <c r="T28" i="5"/>
  <c r="V27" i="5" l="1"/>
  <c r="R400" i="5"/>
  <c r="V399" i="5" s="1"/>
  <c r="H400" i="5"/>
  <c r="I400" i="5"/>
  <c r="J400" i="5"/>
  <c r="AB299" i="5"/>
  <c r="I299" i="5"/>
  <c r="X299" i="5" s="1"/>
  <c r="J299" i="5"/>
  <c r="H299" i="5"/>
  <c r="R299" i="5"/>
  <c r="I110" i="5"/>
  <c r="H110" i="5"/>
  <c r="J110" i="5"/>
  <c r="R110" i="5"/>
  <c r="H345" i="5"/>
  <c r="I345" i="5"/>
  <c r="R345" i="5"/>
  <c r="J345" i="5"/>
  <c r="T345" i="5" s="1"/>
  <c r="T503" i="5"/>
  <c r="R373" i="5"/>
  <c r="H373" i="5"/>
  <c r="X373" i="5" s="1"/>
  <c r="I373" i="5"/>
  <c r="J373" i="5"/>
  <c r="T400" i="5"/>
  <c r="S345" i="5"/>
  <c r="S502" i="5"/>
  <c r="T373" i="5"/>
  <c r="T299" i="5"/>
  <c r="S373" i="5"/>
  <c r="V344" i="5" l="1"/>
  <c r="V372" i="5"/>
  <c r="V298" i="5"/>
  <c r="I399" i="5"/>
  <c r="R399" i="5"/>
  <c r="J399" i="5"/>
  <c r="H399" i="5"/>
  <c r="X464" i="5" s="1"/>
  <c r="V26" i="5"/>
  <c r="R27" i="5"/>
  <c r="J27" i="5"/>
  <c r="T27" i="5" s="1"/>
  <c r="X29" i="5" s="1"/>
  <c r="I27" i="5"/>
  <c r="H27" i="5"/>
  <c r="X27" i="5" s="1"/>
  <c r="S501" i="5"/>
  <c r="T110" i="5"/>
  <c r="T399" i="5" l="1"/>
  <c r="V397" i="5" s="1"/>
  <c r="V500" i="5"/>
  <c r="V109" i="5"/>
  <c r="I344" i="5"/>
  <c r="V343" i="5" s="1"/>
  <c r="J344" i="5"/>
  <c r="T344" i="5" s="1"/>
  <c r="R344" i="5"/>
  <c r="H344" i="5"/>
  <c r="T26" i="5"/>
  <c r="V25" i="5" s="1"/>
  <c r="R26" i="5"/>
  <c r="H298" i="5"/>
  <c r="X298" i="5" s="1"/>
  <c r="J298" i="5"/>
  <c r="T298" i="5" s="1"/>
  <c r="I298" i="5"/>
  <c r="R298" i="5"/>
  <c r="V371" i="5"/>
  <c r="I372" i="5"/>
  <c r="H372" i="5"/>
  <c r="R372" i="5"/>
  <c r="J372" i="5"/>
  <c r="T372" i="5" s="1"/>
  <c r="J397" i="5"/>
  <c r="T397" i="5" s="1"/>
  <c r="V396" i="5" s="1"/>
  <c r="I397" i="5"/>
  <c r="R397" i="5"/>
  <c r="H397" i="5"/>
  <c r="X397" i="5" s="1"/>
  <c r="S297" i="5"/>
  <c r="V295" i="5" l="1"/>
  <c r="I396" i="5"/>
  <c r="H396" i="5"/>
  <c r="R396" i="5"/>
  <c r="J396" i="5"/>
  <c r="T396" i="5" s="1"/>
  <c r="V24" i="5"/>
  <c r="J25" i="5"/>
  <c r="H25" i="5"/>
  <c r="X25" i="5" s="1"/>
  <c r="R25" i="5"/>
  <c r="I25" i="5"/>
  <c r="I371" i="5"/>
  <c r="X383" i="5" s="1"/>
  <c r="R371" i="5"/>
  <c r="J371" i="5"/>
  <c r="H371" i="5"/>
  <c r="R343" i="5"/>
  <c r="J343" i="5"/>
  <c r="T343" i="5" s="1"/>
  <c r="V341" i="5" s="1"/>
  <c r="H343" i="5"/>
  <c r="X344" i="5" s="1"/>
  <c r="I343" i="5"/>
  <c r="R109" i="5"/>
  <c r="H109" i="5"/>
  <c r="J109" i="5"/>
  <c r="I109" i="5"/>
  <c r="R500" i="5"/>
  <c r="V499" i="5" s="1"/>
  <c r="I500" i="5"/>
  <c r="H500" i="5"/>
  <c r="J500" i="5"/>
  <c r="T500" i="5" s="1"/>
  <c r="S394" i="5"/>
  <c r="T25" i="5"/>
  <c r="T371" i="5"/>
  <c r="T109" i="5"/>
  <c r="V369" i="5" l="1"/>
  <c r="V393" i="5"/>
  <c r="R24" i="5"/>
  <c r="V23" i="5" s="1"/>
  <c r="I24" i="5"/>
  <c r="H24" i="5"/>
  <c r="J24" i="5"/>
  <c r="T24" i="5" s="1"/>
  <c r="V498" i="5"/>
  <c r="H499" i="5"/>
  <c r="X499" i="5" s="1"/>
  <c r="J499" i="5"/>
  <c r="R499" i="5"/>
  <c r="I499" i="5"/>
  <c r="V338" i="5"/>
  <c r="J341" i="5"/>
  <c r="T341" i="5" s="1"/>
  <c r="X345" i="5" s="1"/>
  <c r="I341" i="5"/>
  <c r="R341" i="5"/>
  <c r="H341" i="5"/>
  <c r="V294" i="5"/>
  <c r="R295" i="5"/>
  <c r="I295" i="5"/>
  <c r="X317" i="5" s="1"/>
  <c r="J295" i="5"/>
  <c r="H295" i="5"/>
  <c r="X295" i="5" s="1"/>
  <c r="T108" i="5"/>
  <c r="T295" i="5"/>
  <c r="T499" i="5"/>
  <c r="V107" i="5" l="1"/>
  <c r="R498" i="5"/>
  <c r="J498" i="5"/>
  <c r="T498" i="5" s="1"/>
  <c r="I498" i="5"/>
  <c r="H498" i="5"/>
  <c r="X498" i="5" s="1"/>
  <c r="J294" i="5"/>
  <c r="H294" i="5"/>
  <c r="X294" i="5" s="1"/>
  <c r="R294" i="5"/>
  <c r="I294" i="5"/>
  <c r="J338" i="5"/>
  <c r="H338" i="5"/>
  <c r="R338" i="5"/>
  <c r="I338" i="5"/>
  <c r="H23" i="5"/>
  <c r="I23" i="5"/>
  <c r="J23" i="5"/>
  <c r="T23" i="5" s="1"/>
  <c r="R23" i="5"/>
  <c r="I393" i="5"/>
  <c r="J393" i="5"/>
  <c r="H393" i="5"/>
  <c r="R393" i="5"/>
  <c r="R369" i="5"/>
  <c r="J369" i="5"/>
  <c r="H369" i="5"/>
  <c r="X369" i="5" s="1"/>
  <c r="I369" i="5"/>
  <c r="T369" i="5"/>
  <c r="S369" i="5"/>
  <c r="S498" i="5"/>
  <c r="T294" i="5"/>
  <c r="T393" i="5"/>
  <c r="V291" i="5" l="1"/>
  <c r="V368" i="5"/>
  <c r="V392" i="5"/>
  <c r="R392" i="5" s="1"/>
  <c r="V106" i="5"/>
  <c r="J107" i="5"/>
  <c r="T107" i="5" s="1"/>
  <c r="R107" i="5"/>
  <c r="H107" i="5"/>
  <c r="I107" i="5"/>
  <c r="X107" i="5" s="1"/>
  <c r="T338" i="5"/>
  <c r="S338" i="5"/>
  <c r="S497" i="5"/>
  <c r="V495" i="5" l="1"/>
  <c r="V337" i="5"/>
  <c r="V289" i="5"/>
  <c r="I291" i="5"/>
  <c r="H291" i="5"/>
  <c r="R291" i="5"/>
  <c r="J291" i="5"/>
  <c r="X106" i="5"/>
  <c r="I106" i="5"/>
  <c r="J106" i="5"/>
  <c r="H106" i="5"/>
  <c r="R106" i="5"/>
  <c r="H368" i="5"/>
  <c r="R368" i="5"/>
  <c r="I368" i="5"/>
  <c r="J368" i="5"/>
  <c r="S106" i="5"/>
  <c r="T106" i="5"/>
  <c r="S366" i="5"/>
  <c r="T291" i="5"/>
  <c r="T368" i="5"/>
  <c r="X170" i="5" l="1"/>
  <c r="V105" i="5"/>
  <c r="V286" i="5"/>
  <c r="R289" i="5"/>
  <c r="X289" i="5" s="1"/>
  <c r="H289" i="5"/>
  <c r="J289" i="5"/>
  <c r="I289" i="5"/>
  <c r="V336" i="5"/>
  <c r="J337" i="5"/>
  <c r="T337" i="5" s="1"/>
  <c r="H337" i="5"/>
  <c r="X337" i="5" s="1"/>
  <c r="I337" i="5"/>
  <c r="R337" i="5"/>
  <c r="I495" i="5"/>
  <c r="H495" i="5"/>
  <c r="X495" i="5" s="1"/>
  <c r="J495" i="5"/>
  <c r="R495" i="5"/>
  <c r="S365" i="5"/>
  <c r="T289" i="5"/>
  <c r="V285" i="5" l="1"/>
  <c r="J286" i="5"/>
  <c r="H286" i="5"/>
  <c r="X286" i="5" s="1"/>
  <c r="R286" i="5"/>
  <c r="I286" i="5"/>
  <c r="I105" i="5"/>
  <c r="H105" i="5"/>
  <c r="R105" i="5"/>
  <c r="X105" i="5" s="1"/>
  <c r="J105" i="5"/>
  <c r="R336" i="5"/>
  <c r="J336" i="5"/>
  <c r="I336" i="5"/>
  <c r="H336" i="5"/>
  <c r="T105" i="5"/>
  <c r="T495" i="5"/>
  <c r="S104" i="5"/>
  <c r="T286" i="5"/>
  <c r="V494" i="5" l="1"/>
  <c r="R285" i="5"/>
  <c r="X285" i="5" s="1"/>
  <c r="H285" i="5"/>
  <c r="I285" i="5"/>
  <c r="J285" i="5"/>
  <c r="T336" i="5"/>
  <c r="V335" i="5" s="1"/>
  <c r="S285" i="5"/>
  <c r="S102" i="5"/>
  <c r="T285" i="5"/>
  <c r="V283" i="5" l="1"/>
  <c r="V101" i="5"/>
  <c r="H335" i="5"/>
  <c r="R335" i="5"/>
  <c r="J335" i="5"/>
  <c r="T335" i="5" s="1"/>
  <c r="I335" i="5"/>
  <c r="T493" i="5"/>
  <c r="V492" i="5" s="1"/>
  <c r="H494" i="5"/>
  <c r="X494" i="5" s="1"/>
  <c r="R494" i="5"/>
  <c r="J494" i="5"/>
  <c r="T494" i="5" s="1"/>
  <c r="I494" i="5"/>
  <c r="S335" i="5"/>
  <c r="V333" i="5" l="1"/>
  <c r="V491" i="5"/>
  <c r="R492" i="5"/>
  <c r="J492" i="5"/>
  <c r="H492" i="5"/>
  <c r="I492" i="5"/>
  <c r="R101" i="5"/>
  <c r="H101" i="5"/>
  <c r="I101" i="5"/>
  <c r="J101" i="5"/>
  <c r="R283" i="5"/>
  <c r="V282" i="5" s="1"/>
  <c r="I283" i="5"/>
  <c r="X283" i="5" s="1"/>
  <c r="J283" i="5"/>
  <c r="H283" i="5"/>
  <c r="T101" i="5"/>
  <c r="T492" i="5"/>
  <c r="T283" i="5"/>
  <c r="H333" i="5" l="1"/>
  <c r="X333" i="5" s="1"/>
  <c r="R333" i="5"/>
  <c r="J333" i="5"/>
  <c r="T333" i="5" s="1"/>
  <c r="I333" i="5"/>
  <c r="I491" i="5"/>
  <c r="H491" i="5"/>
  <c r="R491" i="5"/>
  <c r="J491" i="5"/>
  <c r="R282" i="5"/>
  <c r="J282" i="5"/>
  <c r="I282" i="5"/>
  <c r="H282" i="5"/>
  <c r="X282" i="5" s="1"/>
  <c r="S333" i="5"/>
  <c r="S282" i="5"/>
  <c r="T100" i="5"/>
  <c r="T282" i="5"/>
  <c r="V332" i="5" l="1"/>
  <c r="V99" i="5"/>
  <c r="S281" i="5"/>
  <c r="T491" i="5"/>
  <c r="V278" i="5" l="1"/>
  <c r="R332" i="5"/>
  <c r="H332" i="5"/>
  <c r="J332" i="5"/>
  <c r="I332" i="5"/>
  <c r="V98" i="5"/>
  <c r="R99" i="5"/>
  <c r="H99" i="5"/>
  <c r="J99" i="5"/>
  <c r="I99" i="5"/>
  <c r="S490" i="5"/>
  <c r="T332" i="5" l="1"/>
  <c r="V331" i="5" s="1"/>
  <c r="T489" i="5"/>
  <c r="V488" i="5" s="1"/>
  <c r="R98" i="5"/>
  <c r="I98" i="5"/>
  <c r="H98" i="5"/>
  <c r="X103" i="5" s="1"/>
  <c r="J98" i="5"/>
  <c r="H278" i="5"/>
  <c r="X278" i="5" s="1"/>
  <c r="R278" i="5"/>
  <c r="J278" i="5"/>
  <c r="I278" i="5"/>
  <c r="H331" i="5"/>
  <c r="R331" i="5"/>
  <c r="J331" i="5"/>
  <c r="T331" i="5" s="1"/>
  <c r="I331" i="5"/>
  <c r="X331" i="5" s="1"/>
  <c r="X384" i="5" s="1"/>
  <c r="X99" i="5"/>
  <c r="S331" i="5"/>
  <c r="S98" i="5"/>
  <c r="T99" i="5"/>
  <c r="T98" i="5"/>
  <c r="S278" i="5"/>
  <c r="T278" i="5"/>
  <c r="X101" i="5" l="1"/>
  <c r="V329" i="5"/>
  <c r="V97" i="5"/>
  <c r="J488" i="5"/>
  <c r="R488" i="5"/>
  <c r="I488" i="5"/>
  <c r="H488" i="5"/>
  <c r="S277" i="5"/>
  <c r="V275" i="5" l="1"/>
  <c r="AB488" i="5"/>
  <c r="V487" i="5" s="1"/>
  <c r="T488" i="5"/>
  <c r="I97" i="5"/>
  <c r="X110" i="5" s="1"/>
  <c r="R97" i="5"/>
  <c r="X97" i="5" s="1"/>
  <c r="J97" i="5"/>
  <c r="H97" i="5"/>
  <c r="R329" i="5"/>
  <c r="H329" i="5"/>
  <c r="X329" i="5" s="1"/>
  <c r="J329" i="5"/>
  <c r="I329" i="5"/>
  <c r="S329" i="5"/>
  <c r="T97" i="5"/>
  <c r="T329" i="5"/>
  <c r="V327" i="5" l="1"/>
  <c r="V96" i="5"/>
  <c r="X332" i="5"/>
  <c r="V274" i="5"/>
  <c r="R275" i="5"/>
  <c r="I275" i="5"/>
  <c r="H275" i="5"/>
  <c r="X275" i="5" s="1"/>
  <c r="J275" i="5"/>
  <c r="I487" i="5"/>
  <c r="X507" i="5" s="1"/>
  <c r="R487" i="5"/>
  <c r="H487" i="5"/>
  <c r="J487" i="5"/>
  <c r="T487" i="5" s="1"/>
  <c r="S486" i="5"/>
  <c r="T275" i="5"/>
  <c r="R96" i="5" l="1"/>
  <c r="I96" i="5"/>
  <c r="H96" i="5"/>
  <c r="J96" i="5"/>
  <c r="H327" i="5"/>
  <c r="R327" i="5"/>
  <c r="I327" i="5"/>
  <c r="X327" i="5" s="1"/>
  <c r="J327" i="5"/>
  <c r="V273" i="5"/>
  <c r="R274" i="5"/>
  <c r="H274" i="5"/>
  <c r="X274" i="5" s="1"/>
  <c r="J274" i="5"/>
  <c r="I274" i="5"/>
  <c r="X290" i="5" s="1"/>
  <c r="T485" i="5"/>
  <c r="S327" i="5"/>
  <c r="S96" i="5"/>
  <c r="T327" i="5"/>
  <c r="T274" i="5"/>
  <c r="T96" i="5"/>
  <c r="V95" i="5" l="1"/>
  <c r="V326" i="5"/>
  <c r="V484" i="5"/>
  <c r="V271" i="5"/>
  <c r="R273" i="5"/>
  <c r="X273" i="5" s="1"/>
  <c r="J273" i="5"/>
  <c r="T273" i="5" s="1"/>
  <c r="I273" i="5"/>
  <c r="H273" i="5"/>
  <c r="X271" i="5" l="1"/>
  <c r="V270" i="5" s="1"/>
  <c r="R271" i="5"/>
  <c r="J271" i="5"/>
  <c r="I271" i="5"/>
  <c r="H271" i="5"/>
  <c r="R484" i="5"/>
  <c r="V483" i="5" s="1"/>
  <c r="I484" i="5"/>
  <c r="H484" i="5"/>
  <c r="J484" i="5"/>
  <c r="I326" i="5"/>
  <c r="H326" i="5"/>
  <c r="J326" i="5"/>
  <c r="R326" i="5"/>
  <c r="V94" i="5"/>
  <c r="R95" i="5"/>
  <c r="T271" i="5"/>
  <c r="T326" i="5"/>
  <c r="T484" i="5"/>
  <c r="V325" i="5" l="1"/>
  <c r="X94" i="5"/>
  <c r="R94" i="5"/>
  <c r="V482" i="5"/>
  <c r="I483" i="5"/>
  <c r="H483" i="5"/>
  <c r="X483" i="5" s="1"/>
  <c r="R483" i="5"/>
  <c r="J483" i="5"/>
  <c r="V269" i="5"/>
  <c r="R270" i="5"/>
  <c r="J270" i="5"/>
  <c r="I270" i="5"/>
  <c r="H270" i="5"/>
  <c r="X270" i="5" s="1"/>
  <c r="T483" i="5"/>
  <c r="S94" i="5"/>
  <c r="T270" i="5"/>
  <c r="V93" i="5" l="1"/>
  <c r="X269" i="5"/>
  <c r="R269" i="5"/>
  <c r="I269" i="5"/>
  <c r="H269" i="5"/>
  <c r="J269" i="5"/>
  <c r="R325" i="5"/>
  <c r="J325" i="5"/>
  <c r="H325" i="5"/>
  <c r="I325" i="5"/>
  <c r="X326" i="5" s="1"/>
  <c r="R482" i="5"/>
  <c r="J482" i="5"/>
  <c r="I482" i="5"/>
  <c r="H482" i="5"/>
  <c r="X482" i="5" s="1"/>
  <c r="T325" i="5"/>
  <c r="S269" i="5"/>
  <c r="S325" i="5"/>
  <c r="S482" i="5"/>
  <c r="T269" i="5"/>
  <c r="T482" i="5"/>
  <c r="AB324" i="5" l="1"/>
  <c r="V267" i="5"/>
  <c r="AB481" i="5"/>
  <c r="T481" i="5" s="1"/>
  <c r="T93" i="5"/>
  <c r="V92" i="5" s="1"/>
  <c r="R92" i="5" s="1"/>
  <c r="R93" i="5"/>
  <c r="X93" i="5" s="1"/>
  <c r="S92" i="5"/>
  <c r="V90" i="5" l="1"/>
  <c r="V266" i="5"/>
  <c r="R267" i="5"/>
  <c r="H267" i="5"/>
  <c r="J267" i="5"/>
  <c r="I267" i="5"/>
  <c r="T324" i="5"/>
  <c r="T267" i="5"/>
  <c r="V323" i="5" l="1"/>
  <c r="R266" i="5"/>
  <c r="H90" i="5"/>
  <c r="I90" i="5"/>
  <c r="R90" i="5"/>
  <c r="J90" i="5"/>
  <c r="T90" i="5" s="1"/>
  <c r="X92" i="5" s="1"/>
  <c r="S90" i="5"/>
  <c r="S265" i="5"/>
  <c r="V89" i="5" l="1"/>
  <c r="J323" i="5"/>
  <c r="T323" i="5" s="1"/>
  <c r="I323" i="5"/>
  <c r="X323" i="5" s="1"/>
  <c r="R323" i="5"/>
  <c r="H323" i="5"/>
  <c r="S323" i="5"/>
  <c r="V322" i="5" l="1"/>
  <c r="R322" i="5" s="1"/>
  <c r="V321" i="5" s="1"/>
  <c r="R89" i="5"/>
  <c r="X89" i="5" s="1"/>
  <c r="I89" i="5"/>
  <c r="X129" i="5" s="1"/>
  <c r="J89" i="5"/>
  <c r="H89" i="5"/>
  <c r="T89" i="5"/>
  <c r="V88" i="5" l="1"/>
  <c r="H321" i="5"/>
  <c r="X321" i="5" s="1"/>
  <c r="J321" i="5"/>
  <c r="R321" i="5"/>
  <c r="I321" i="5"/>
  <c r="X322" i="5" s="1"/>
  <c r="S321" i="5"/>
  <c r="T321" i="5"/>
  <c r="V319" i="5" l="1"/>
  <c r="R88" i="5"/>
  <c r="I88" i="5"/>
  <c r="J88" i="5"/>
  <c r="H88" i="5"/>
  <c r="T88" i="5"/>
  <c r="V86" i="5" l="1"/>
  <c r="I319" i="5"/>
  <c r="X319" i="5" s="1"/>
  <c r="H319" i="5"/>
  <c r="J319" i="5"/>
  <c r="R319" i="5"/>
  <c r="S319" i="5"/>
  <c r="T319" i="5"/>
  <c r="V318" i="5" l="1"/>
  <c r="H86" i="5"/>
  <c r="I86" i="5"/>
  <c r="R86" i="5"/>
  <c r="J86" i="5"/>
  <c r="S86" i="5"/>
  <c r="T86" i="5"/>
  <c r="V85" i="5" l="1"/>
  <c r="X88" i="5"/>
  <c r="I318" i="5"/>
  <c r="H318" i="5"/>
  <c r="J318" i="5"/>
  <c r="R318" i="5"/>
  <c r="T318" i="5"/>
  <c r="V317" i="5" l="1"/>
  <c r="R85" i="5"/>
  <c r="I85" i="5"/>
  <c r="J85" i="5"/>
  <c r="H85" i="5"/>
  <c r="J317" i="5" l="1"/>
  <c r="R317" i="5"/>
  <c r="H317" i="5"/>
  <c r="I317" i="5"/>
  <c r="X318" i="5" s="1"/>
  <c r="T85" i="5"/>
  <c r="V84" i="5" s="1"/>
  <c r="S317" i="5"/>
  <c r="T317" i="5"/>
  <c r="R84" i="5" l="1"/>
  <c r="I84" i="5"/>
  <c r="J84" i="5"/>
  <c r="H84" i="5"/>
  <c r="T316" i="5"/>
  <c r="T84" i="5" l="1"/>
  <c r="V83" i="5" s="1"/>
  <c r="V315" i="5"/>
  <c r="V82" i="5"/>
  <c r="J83" i="5"/>
  <c r="H83" i="5"/>
  <c r="R83" i="5"/>
  <c r="I83" i="5"/>
  <c r="X83" i="5" s="1"/>
  <c r="T83" i="5"/>
  <c r="R315" i="5" l="1"/>
  <c r="J315" i="5"/>
  <c r="T315" i="5" s="1"/>
  <c r="H315" i="5"/>
  <c r="I315" i="5"/>
  <c r="X315" i="5" s="1"/>
  <c r="X335" i="5" s="1"/>
  <c r="R82" i="5"/>
  <c r="I82" i="5"/>
  <c r="H82" i="5"/>
  <c r="X86" i="5" s="1"/>
  <c r="J82" i="5"/>
  <c r="S82" i="5"/>
  <c r="S315" i="5"/>
  <c r="T82" i="5"/>
  <c r="V81" i="5" l="1"/>
  <c r="X84" i="5"/>
  <c r="R81" i="5" l="1"/>
  <c r="I81" i="5"/>
  <c r="J81" i="5"/>
  <c r="H81" i="5"/>
  <c r="T81" i="5"/>
  <c r="V80" i="5" l="1"/>
  <c r="R80" i="5" l="1"/>
  <c r="I80" i="5"/>
  <c r="J80" i="5"/>
  <c r="H80" i="5"/>
  <c r="T80" i="5" l="1"/>
  <c r="V79" i="5" s="1"/>
  <c r="V78" i="5"/>
  <c r="H79" i="5"/>
  <c r="X79" i="5" s="1"/>
  <c r="R79" i="5"/>
  <c r="J79" i="5"/>
  <c r="I79" i="5"/>
  <c r="T79" i="5"/>
  <c r="R78" i="5" l="1"/>
  <c r="H78" i="5"/>
  <c r="X82" i="5" s="1"/>
  <c r="X98" i="5" s="1"/>
  <c r="I78" i="5"/>
  <c r="J78" i="5"/>
  <c r="S78" i="5"/>
  <c r="T78" i="5"/>
  <c r="X80" i="5" l="1"/>
  <c r="V77" i="5"/>
  <c r="R77" i="5" l="1"/>
  <c r="I77" i="5"/>
  <c r="X77" i="5" s="1"/>
  <c r="H77" i="5"/>
  <c r="J77" i="5"/>
  <c r="AB446" i="5"/>
  <c r="AB450" i="5"/>
  <c r="G66" i="6"/>
  <c r="H66" i="6"/>
  <c r="G65" i="6"/>
  <c r="H65" i="6"/>
  <c r="G67" i="6"/>
  <c r="H67" i="6"/>
  <c r="G68" i="6"/>
  <c r="H68" i="6"/>
  <c r="V445" i="5"/>
  <c r="C67" i="6"/>
  <c r="D67" i="6"/>
  <c r="H70" i="6"/>
  <c r="D2" i="6" s="1"/>
  <c r="D65" i="6"/>
  <c r="C65" i="6"/>
  <c r="D66" i="6"/>
  <c r="C66" i="6"/>
  <c r="C68" i="6"/>
  <c r="D68" i="6"/>
  <c r="V468" i="5"/>
  <c r="J468" i="5"/>
  <c r="V448" i="5"/>
  <c r="J448" i="5"/>
  <c r="T448" i="5" s="1"/>
  <c r="V420" i="5"/>
  <c r="J420" i="5"/>
  <c r="V470" i="5"/>
  <c r="J470" i="5"/>
  <c r="V444" i="5"/>
  <c r="J444" i="5"/>
  <c r="T444" i="5" s="1"/>
  <c r="V478" i="5"/>
  <c r="J478" i="5"/>
  <c r="T478" i="5" s="1"/>
  <c r="V137" i="5"/>
  <c r="J137" i="5"/>
  <c r="V155" i="5"/>
  <c r="J155" i="5"/>
  <c r="V55" i="5"/>
  <c r="J55" i="5"/>
  <c r="X69" i="5"/>
  <c r="X85" i="5"/>
  <c r="X95" i="5"/>
  <c r="V476" i="5"/>
  <c r="J476" i="5"/>
  <c r="V456" i="5"/>
  <c r="J456" i="5"/>
  <c r="T456" i="5" s="1"/>
  <c r="V440" i="5"/>
  <c r="J440" i="5"/>
  <c r="T440" i="5" s="1"/>
  <c r="V519" i="5"/>
  <c r="J519" i="5"/>
  <c r="R519" i="5"/>
  <c r="H519" i="5"/>
  <c r="I519" i="5"/>
  <c r="V516" i="5"/>
  <c r="V520" i="5"/>
  <c r="J520" i="5"/>
  <c r="T520" i="5" s="1"/>
  <c r="V223" i="5"/>
  <c r="J223" i="5"/>
  <c r="V436" i="5"/>
  <c r="J436" i="5"/>
  <c r="T436" i="5" s="1"/>
  <c r="J516" i="5"/>
  <c r="T516" i="5" s="1"/>
  <c r="V526" i="5"/>
  <c r="J526" i="5"/>
  <c r="V167" i="5"/>
  <c r="J167" i="5"/>
  <c r="V166" i="5"/>
  <c r="V74" i="5"/>
  <c r="J74" i="5"/>
  <c r="T74" i="5" s="1"/>
  <c r="X76" i="5"/>
  <c r="I468" i="5"/>
  <c r="H468" i="5"/>
  <c r="R468" i="5"/>
  <c r="T465" i="5"/>
  <c r="V464" i="5"/>
  <c r="V528" i="5"/>
  <c r="J528" i="5"/>
  <c r="T528" i="5" s="1"/>
  <c r="V452" i="5"/>
  <c r="J452" i="5"/>
  <c r="T452" i="5" s="1"/>
  <c r="V428" i="5"/>
  <c r="J428" i="5"/>
  <c r="V50" i="5"/>
  <c r="J50" i="5"/>
  <c r="X52" i="5"/>
  <c r="V187" i="5"/>
  <c r="J187" i="5"/>
  <c r="V186" i="5"/>
  <c r="V480" i="5"/>
  <c r="J480" i="5"/>
  <c r="T480" i="5" s="1"/>
  <c r="V424" i="5"/>
  <c r="J424" i="5"/>
  <c r="V432" i="5"/>
  <c r="J432" i="5"/>
  <c r="H526" i="5"/>
  <c r="X526" i="5"/>
  <c r="I526" i="5"/>
  <c r="R526" i="5"/>
  <c r="V523" i="5"/>
  <c r="V70" i="5"/>
  <c r="J70" i="5"/>
  <c r="T70" i="5" s="1"/>
  <c r="X72" i="5"/>
  <c r="V121" i="5"/>
  <c r="H121" i="5"/>
  <c r="I121" i="5"/>
  <c r="J121" i="5"/>
  <c r="R121" i="5"/>
  <c r="V67" i="5"/>
  <c r="J67" i="5"/>
  <c r="T67" i="5" s="1"/>
  <c r="X67" i="5"/>
  <c r="V219" i="5"/>
  <c r="J219" i="5"/>
  <c r="V181" i="5"/>
  <c r="J181" i="5"/>
  <c r="V135" i="5"/>
  <c r="J135" i="5"/>
  <c r="T135" i="5" s="1"/>
  <c r="V58" i="5"/>
  <c r="J58" i="5"/>
  <c r="X60" i="5"/>
  <c r="V123" i="5"/>
  <c r="J123" i="5"/>
  <c r="R464" i="5"/>
  <c r="J464" i="5"/>
  <c r="T464" i="5" s="1"/>
  <c r="H464" i="5"/>
  <c r="I464" i="5"/>
  <c r="T463" i="5"/>
  <c r="V461" i="5"/>
  <c r="V235" i="5"/>
  <c r="J235" i="5"/>
  <c r="V233" i="5"/>
  <c r="I233" i="5"/>
  <c r="J233" i="5"/>
  <c r="H233" i="5"/>
  <c r="R233" i="5"/>
  <c r="V149" i="5"/>
  <c r="J149" i="5"/>
  <c r="V54" i="5"/>
  <c r="J54" i="5"/>
  <c r="T54" i="5" s="1"/>
  <c r="X56" i="5"/>
  <c r="V169" i="5"/>
  <c r="J169" i="5"/>
  <c r="V139" i="5"/>
  <c r="J139" i="5"/>
  <c r="T139" i="5" s="1"/>
  <c r="V59" i="5"/>
  <c r="J59" i="5"/>
  <c r="T59" i="5" s="1"/>
  <c r="V457" i="5"/>
  <c r="J457" i="5"/>
  <c r="X457" i="5"/>
  <c r="V471" i="5"/>
  <c r="J471" i="5"/>
  <c r="H471" i="5"/>
  <c r="X471" i="5"/>
  <c r="I471" i="5"/>
  <c r="R471" i="5"/>
  <c r="V42" i="5"/>
  <c r="J42" i="5"/>
  <c r="X44" i="5"/>
  <c r="V195" i="5"/>
  <c r="J195" i="5"/>
  <c r="V75" i="5"/>
  <c r="J75" i="5"/>
  <c r="R478" i="5"/>
  <c r="I478" i="5"/>
  <c r="H478" i="5"/>
  <c r="X478" i="5"/>
  <c r="V247" i="5"/>
  <c r="J247" i="5"/>
  <c r="V459" i="5"/>
  <c r="I459" i="5"/>
  <c r="R459" i="5"/>
  <c r="X459" i="5"/>
  <c r="J459" i="5"/>
  <c r="H459" i="5"/>
  <c r="V209" i="5"/>
  <c r="J209" i="5"/>
  <c r="V162" i="5"/>
  <c r="J162" i="5"/>
  <c r="T162" i="5" s="1"/>
  <c r="R162" i="5"/>
  <c r="H162" i="5"/>
  <c r="I162" i="5"/>
  <c r="V161" i="5"/>
  <c r="V38" i="5"/>
  <c r="J38" i="5"/>
  <c r="X40" i="5"/>
  <c r="V213" i="5"/>
  <c r="R213" i="5"/>
  <c r="X222" i="5"/>
  <c r="X213" i="5"/>
  <c r="V210" i="5"/>
  <c r="V185" i="5"/>
  <c r="H185" i="5"/>
  <c r="I185" i="5"/>
  <c r="J185" i="5"/>
  <c r="R185" i="5"/>
  <c r="V183" i="5"/>
  <c r="V138" i="5"/>
  <c r="R138" i="5"/>
  <c r="H138" i="5"/>
  <c r="J138" i="5"/>
  <c r="I138" i="5"/>
  <c r="V159" i="5"/>
  <c r="J159" i="5"/>
  <c r="V52" i="5"/>
  <c r="H52" i="5"/>
  <c r="J52" i="5"/>
  <c r="I52" i="5"/>
  <c r="R52" i="5"/>
  <c r="V51" i="5"/>
  <c r="J210" i="5"/>
  <c r="V46" i="5"/>
  <c r="J46" i="5"/>
  <c r="X48" i="5"/>
  <c r="H470" i="5"/>
  <c r="X470" i="5"/>
  <c r="R470" i="5"/>
  <c r="I470" i="5"/>
  <c r="V250" i="5"/>
  <c r="I250" i="5"/>
  <c r="X266" i="5"/>
  <c r="J250" i="5"/>
  <c r="H250" i="5"/>
  <c r="X250" i="5"/>
  <c r="R250" i="5"/>
  <c r="V249" i="5"/>
  <c r="V226" i="5"/>
  <c r="I226" i="5"/>
  <c r="J226" i="5"/>
  <c r="R226" i="5"/>
  <c r="H226" i="5"/>
  <c r="X226" i="5"/>
  <c r="V225" i="5"/>
  <c r="V157" i="5"/>
  <c r="H157" i="5"/>
  <c r="J157" i="5"/>
  <c r="I157" i="5"/>
  <c r="R157" i="5"/>
  <c r="V143" i="5"/>
  <c r="J143" i="5"/>
  <c r="V150" i="5"/>
  <c r="H150" i="5"/>
  <c r="I150" i="5"/>
  <c r="X154" i="5"/>
  <c r="R150" i="5"/>
  <c r="J150" i="5"/>
  <c r="X150" i="5"/>
  <c r="V131" i="5"/>
  <c r="J131" i="5"/>
  <c r="J183" i="5"/>
  <c r="V203" i="5"/>
  <c r="J203" i="5"/>
  <c r="T203" i="5" s="1"/>
  <c r="J186" i="5"/>
  <c r="T186" i="5" s="1"/>
  <c r="R186" i="5"/>
  <c r="H186" i="5"/>
  <c r="I186" i="5"/>
  <c r="V127" i="5"/>
  <c r="J127" i="5"/>
  <c r="V246" i="5"/>
  <c r="J246" i="5"/>
  <c r="V527" i="5"/>
  <c r="J527" i="5"/>
  <c r="T527" i="5" s="1"/>
  <c r="V158" i="5"/>
  <c r="R158" i="5"/>
  <c r="V48" i="5"/>
  <c r="H48" i="5"/>
  <c r="J48" i="5"/>
  <c r="I48" i="5"/>
  <c r="R48" i="5"/>
  <c r="V47" i="5"/>
  <c r="J225" i="5"/>
  <c r="R523" i="5"/>
  <c r="J523" i="5"/>
  <c r="T523" i="5" s="1"/>
  <c r="H523" i="5"/>
  <c r="X523" i="5"/>
  <c r="I523" i="5"/>
  <c r="V41" i="5"/>
  <c r="R41" i="5"/>
  <c r="X41" i="5"/>
  <c r="T41" i="5"/>
  <c r="V40" i="5"/>
  <c r="H169" i="5"/>
  <c r="I169" i="5"/>
  <c r="R169" i="5"/>
  <c r="X169" i="5"/>
  <c r="V237" i="5"/>
  <c r="R237" i="5"/>
  <c r="X237" i="5"/>
  <c r="V217" i="5"/>
  <c r="R217" i="5"/>
  <c r="H217" i="5"/>
  <c r="X221" i="5"/>
  <c r="I217" i="5"/>
  <c r="J217" i="5"/>
  <c r="V214" i="5"/>
  <c r="V199" i="5"/>
  <c r="J199" i="5"/>
  <c r="T199" i="5" s="1"/>
  <c r="I137" i="5"/>
  <c r="H137" i="5"/>
  <c r="R137" i="5"/>
  <c r="V72" i="5"/>
  <c r="H72" i="5"/>
  <c r="I72" i="5"/>
  <c r="J72" i="5"/>
  <c r="R72" i="5"/>
  <c r="V60" i="5"/>
  <c r="H60" i="5"/>
  <c r="I60" i="5"/>
  <c r="J60" i="5"/>
  <c r="R60" i="5"/>
  <c r="J214" i="5"/>
  <c r="R214" i="5"/>
  <c r="I214" i="5"/>
  <c r="H214" i="5"/>
  <c r="V206" i="5"/>
  <c r="H206" i="5"/>
  <c r="J206" i="5"/>
  <c r="R206" i="5"/>
  <c r="I206" i="5"/>
  <c r="X209" i="5"/>
  <c r="V205" i="5"/>
  <c r="V130" i="5"/>
  <c r="J130" i="5"/>
  <c r="H130" i="5"/>
  <c r="R130" i="5"/>
  <c r="I130" i="5"/>
  <c r="V129" i="5"/>
  <c r="V182" i="5"/>
  <c r="H182" i="5"/>
  <c r="J182" i="5"/>
  <c r="I182" i="5"/>
  <c r="X186" i="5"/>
  <c r="R182" i="5"/>
  <c r="I210" i="5"/>
  <c r="H210" i="5"/>
  <c r="R210" i="5"/>
  <c r="X210" i="5"/>
  <c r="V202" i="5"/>
  <c r="H202" i="5"/>
  <c r="J202" i="5"/>
  <c r="R202" i="5"/>
  <c r="I202" i="5"/>
  <c r="V171" i="5"/>
  <c r="J171" i="5"/>
  <c r="J47" i="5"/>
  <c r="V178" i="5"/>
  <c r="I178" i="5"/>
  <c r="X182" i="5"/>
  <c r="H178" i="5"/>
  <c r="J178" i="5"/>
  <c r="R178" i="5"/>
  <c r="V177" i="5"/>
  <c r="V198" i="5"/>
  <c r="J198" i="5"/>
  <c r="T198" i="5" s="1"/>
  <c r="I149" i="5"/>
  <c r="R149" i="5"/>
  <c r="H149" i="5"/>
  <c r="V147" i="5"/>
  <c r="V221" i="5"/>
  <c r="H221" i="5"/>
  <c r="I221" i="5"/>
  <c r="J221" i="5"/>
  <c r="R221" i="5"/>
  <c r="J51" i="5"/>
  <c r="X51" i="5"/>
  <c r="I129" i="5"/>
  <c r="R129" i="5"/>
  <c r="H129" i="5"/>
  <c r="J129" i="5"/>
  <c r="V122" i="5"/>
  <c r="J122" i="5"/>
  <c r="T122" i="5" s="1"/>
  <c r="R122" i="5"/>
  <c r="H122" i="5"/>
  <c r="I122" i="5"/>
  <c r="V56" i="5"/>
  <c r="H56" i="5"/>
  <c r="J56" i="5"/>
  <c r="T56" i="5" s="1"/>
  <c r="I56" i="5"/>
  <c r="R56" i="5"/>
  <c r="V455" i="5"/>
  <c r="J455" i="5"/>
  <c r="H455" i="5"/>
  <c r="R455" i="5"/>
  <c r="I455" i="5"/>
  <c r="H424" i="5"/>
  <c r="I424" i="5"/>
  <c r="R424" i="5"/>
  <c r="V421" i="5"/>
  <c r="J249" i="5"/>
  <c r="X253" i="5"/>
  <c r="V69" i="5"/>
  <c r="H69" i="5"/>
  <c r="J69" i="5"/>
  <c r="T69" i="5" s="1"/>
  <c r="I69" i="5"/>
  <c r="R69" i="5"/>
  <c r="V68" i="5"/>
  <c r="V174" i="5"/>
  <c r="J174" i="5"/>
  <c r="R174" i="5"/>
  <c r="H174" i="5"/>
  <c r="I174" i="5"/>
  <c r="V173" i="5"/>
  <c r="R246" i="5"/>
  <c r="H246" i="5"/>
  <c r="X246" i="5"/>
  <c r="I246" i="5"/>
  <c r="X262" i="5"/>
  <c r="V245" i="5"/>
  <c r="V222" i="5"/>
  <c r="I222" i="5"/>
  <c r="R222" i="5"/>
  <c r="J222" i="5"/>
  <c r="H222" i="5"/>
  <c r="V133" i="5"/>
  <c r="H133" i="5"/>
  <c r="J133" i="5"/>
  <c r="T133" i="5" s="1"/>
  <c r="R133" i="5"/>
  <c r="I133" i="5"/>
  <c r="V153" i="5"/>
  <c r="J153" i="5"/>
  <c r="H153" i="5"/>
  <c r="I153" i="5"/>
  <c r="R153" i="5"/>
  <c r="T152" i="5"/>
  <c r="V242" i="5"/>
  <c r="J242" i="5"/>
  <c r="H242" i="5"/>
  <c r="X242" i="5"/>
  <c r="R242" i="5"/>
  <c r="I242" i="5"/>
  <c r="X258" i="5"/>
  <c r="V241" i="5"/>
  <c r="H205" i="5"/>
  <c r="I205" i="5"/>
  <c r="J205" i="5"/>
  <c r="R205" i="5"/>
  <c r="V170" i="5"/>
  <c r="R170" i="5"/>
  <c r="H170" i="5"/>
  <c r="J170" i="5"/>
  <c r="I170" i="5"/>
  <c r="V141" i="5"/>
  <c r="H141" i="5"/>
  <c r="I141" i="5"/>
  <c r="J141" i="5"/>
  <c r="T141" i="5" s="1"/>
  <c r="R141" i="5"/>
  <c r="V39" i="5"/>
  <c r="J39" i="5"/>
  <c r="X53" i="5"/>
  <c r="V238" i="5"/>
  <c r="I238" i="5"/>
  <c r="J238" i="5"/>
  <c r="R238" i="5"/>
  <c r="H238" i="5"/>
  <c r="X238" i="5"/>
  <c r="V193" i="5"/>
  <c r="R193" i="5"/>
  <c r="I193" i="5"/>
  <c r="J193" i="5"/>
  <c r="H193" i="5"/>
  <c r="R161" i="5"/>
  <c r="J161" i="5"/>
  <c r="T161" i="5" s="1"/>
  <c r="H161" i="5"/>
  <c r="I161" i="5"/>
  <c r="V154" i="5"/>
  <c r="J154" i="5"/>
  <c r="R154" i="5"/>
  <c r="H154" i="5"/>
  <c r="I154" i="5"/>
  <c r="V44" i="5"/>
  <c r="H44" i="5"/>
  <c r="J44" i="5"/>
  <c r="I44" i="5"/>
  <c r="R44" i="5"/>
  <c r="R209" i="5"/>
  <c r="H209" i="5"/>
  <c r="I209" i="5"/>
  <c r="V146" i="5"/>
  <c r="H146" i="5"/>
  <c r="I146" i="5"/>
  <c r="J146" i="5"/>
  <c r="R146" i="5"/>
  <c r="V145" i="5"/>
  <c r="T202" i="5"/>
  <c r="V179" i="5"/>
  <c r="J179" i="5"/>
  <c r="I179" i="5"/>
  <c r="R179" i="5"/>
  <c r="H179" i="5"/>
  <c r="V126" i="5"/>
  <c r="J126" i="5"/>
  <c r="H68" i="5"/>
  <c r="J68" i="5"/>
  <c r="T68" i="5" s="1"/>
  <c r="I68" i="5"/>
  <c r="R68" i="5"/>
  <c r="J147" i="5"/>
  <c r="H440" i="5"/>
  <c r="I440" i="5"/>
  <c r="R440" i="5"/>
  <c r="T439" i="5"/>
  <c r="T438" i="5"/>
  <c r="V437" i="5"/>
  <c r="X263" i="5"/>
  <c r="H173" i="5"/>
  <c r="J173" i="5"/>
  <c r="I173" i="5"/>
  <c r="R173" i="5"/>
  <c r="V451" i="5"/>
  <c r="H451" i="5"/>
  <c r="R451" i="5"/>
  <c r="J451" i="5"/>
  <c r="T451" i="5" s="1"/>
  <c r="I451" i="5"/>
  <c r="V449" i="5"/>
  <c r="H420" i="5"/>
  <c r="X424" i="5"/>
  <c r="I420" i="5"/>
  <c r="R420" i="5"/>
  <c r="V417" i="5"/>
  <c r="R167" i="5"/>
  <c r="H167" i="5"/>
  <c r="I167" i="5"/>
  <c r="I55" i="5"/>
  <c r="R55" i="5"/>
  <c r="H55" i="5"/>
  <c r="V63" i="5"/>
  <c r="R63" i="5"/>
  <c r="X70" i="5"/>
  <c r="V62" i="5"/>
  <c r="R62" i="5"/>
  <c r="V61" i="5"/>
  <c r="R448" i="5"/>
  <c r="H448" i="5"/>
  <c r="I448" i="5"/>
  <c r="V197" i="5"/>
  <c r="H197" i="5"/>
  <c r="J197" i="5"/>
  <c r="I197" i="5"/>
  <c r="R197" i="5"/>
  <c r="H177" i="5"/>
  <c r="I177" i="5"/>
  <c r="J177" i="5"/>
  <c r="R177" i="5"/>
  <c r="H461" i="5"/>
  <c r="J461" i="5"/>
  <c r="R461" i="5"/>
  <c r="X461" i="5"/>
  <c r="I461" i="5"/>
  <c r="T460" i="5"/>
  <c r="V218" i="5"/>
  <c r="R218" i="5"/>
  <c r="J218" i="5"/>
  <c r="T218" i="5" s="1"/>
  <c r="I218" i="5"/>
  <c r="H218" i="5"/>
  <c r="V76" i="5"/>
  <c r="H76" i="5"/>
  <c r="J76" i="5"/>
  <c r="I76" i="5"/>
  <c r="R76" i="5"/>
  <c r="H40" i="5"/>
  <c r="J40" i="5"/>
  <c r="I40" i="5"/>
  <c r="R40" i="5"/>
  <c r="I181" i="5"/>
  <c r="R181" i="5"/>
  <c r="H181" i="5"/>
  <c r="V234" i="5"/>
  <c r="R234" i="5"/>
  <c r="I234" i="5"/>
  <c r="H234" i="5"/>
  <c r="X234" i="5"/>
  <c r="J234" i="5"/>
  <c r="I39" i="5"/>
  <c r="R39" i="5"/>
  <c r="H39" i="5"/>
  <c r="V134" i="5"/>
  <c r="J134" i="5"/>
  <c r="X137" i="5"/>
  <c r="V142" i="5"/>
  <c r="J142" i="5"/>
  <c r="R142" i="5"/>
  <c r="H142" i="5"/>
  <c r="I142" i="5"/>
  <c r="R134" i="5"/>
  <c r="H134" i="5"/>
  <c r="I134" i="5"/>
  <c r="R527" i="5"/>
  <c r="I527" i="5"/>
  <c r="H527" i="5"/>
  <c r="I476" i="5"/>
  <c r="H476" i="5"/>
  <c r="R476" i="5"/>
  <c r="H520" i="5"/>
  <c r="I520" i="5"/>
  <c r="R520" i="5"/>
  <c r="V441" i="5"/>
  <c r="H441" i="5"/>
  <c r="X441" i="5"/>
  <c r="J441" i="5"/>
  <c r="T441" i="5" s="1"/>
  <c r="I441" i="5"/>
  <c r="R441" i="5"/>
  <c r="H145" i="5"/>
  <c r="I145" i="5"/>
  <c r="J145" i="5"/>
  <c r="R145" i="5"/>
  <c r="X147" i="5"/>
  <c r="H50" i="5"/>
  <c r="X54" i="5"/>
  <c r="I50" i="5"/>
  <c r="X65" i="5"/>
  <c r="R50" i="5"/>
  <c r="V49" i="5"/>
  <c r="V433" i="5"/>
  <c r="I433" i="5"/>
  <c r="H433" i="5"/>
  <c r="X433" i="5"/>
  <c r="X445" i="5"/>
  <c r="J433" i="5"/>
  <c r="T433" i="5" s="1"/>
  <c r="R433" i="5"/>
  <c r="I516" i="5"/>
  <c r="R516" i="5"/>
  <c r="H516" i="5"/>
  <c r="R428" i="5"/>
  <c r="I428" i="5"/>
  <c r="H428" i="5"/>
  <c r="X432" i="5"/>
  <c r="V425" i="5"/>
  <c r="R452" i="5"/>
  <c r="I452" i="5"/>
  <c r="H452" i="5"/>
  <c r="I54" i="5"/>
  <c r="R54" i="5"/>
  <c r="H54" i="5"/>
  <c r="V53" i="5"/>
  <c r="R47" i="5"/>
  <c r="I47" i="5"/>
  <c r="X66" i="5"/>
  <c r="H47" i="5"/>
  <c r="X47" i="5"/>
  <c r="V190" i="5"/>
  <c r="J190" i="5"/>
  <c r="R190" i="5"/>
  <c r="I190" i="5"/>
  <c r="H190" i="5"/>
  <c r="X190" i="5"/>
  <c r="V165" i="5"/>
  <c r="H165" i="5"/>
  <c r="J165" i="5"/>
  <c r="T165" i="5" s="1"/>
  <c r="I165" i="5"/>
  <c r="R165" i="5"/>
  <c r="J417" i="5"/>
  <c r="T417" i="5" s="1"/>
  <c r="I417" i="5"/>
  <c r="H417" i="5"/>
  <c r="X417" i="5"/>
  <c r="X429" i="5"/>
  <c r="X463" i="5"/>
  <c r="R417" i="5"/>
  <c r="H456" i="5"/>
  <c r="I456" i="5"/>
  <c r="R456" i="5"/>
  <c r="V429" i="5"/>
  <c r="I429" i="5"/>
  <c r="R429" i="5"/>
  <c r="H429" i="5"/>
  <c r="X436" i="5"/>
  <c r="J429" i="5"/>
  <c r="X255" i="5"/>
  <c r="H449" i="5"/>
  <c r="X449" i="5"/>
  <c r="J449" i="5"/>
  <c r="R449" i="5"/>
  <c r="I449" i="5"/>
  <c r="H425" i="5"/>
  <c r="X425" i="5"/>
  <c r="X50" i="5"/>
  <c r="J425" i="5"/>
  <c r="T425" i="5" s="1"/>
  <c r="I425" i="5"/>
  <c r="R425" i="5"/>
  <c r="H445" i="5"/>
  <c r="J445" i="5"/>
  <c r="R445" i="5"/>
  <c r="I445" i="5"/>
  <c r="I46" i="5"/>
  <c r="H46" i="5"/>
  <c r="X45" i="5"/>
  <c r="R46" i="5"/>
  <c r="V45" i="5"/>
  <c r="J421" i="5"/>
  <c r="T421" i="5" s="1"/>
  <c r="R421" i="5"/>
  <c r="I421" i="5"/>
  <c r="H421" i="5"/>
  <c r="X428" i="5"/>
  <c r="I457" i="5"/>
  <c r="R457" i="5"/>
  <c r="H457" i="5"/>
  <c r="H444" i="5"/>
  <c r="X448" i="5"/>
  <c r="R444" i="5"/>
  <c r="I444" i="5"/>
  <c r="J53" i="5"/>
  <c r="H53" i="5"/>
  <c r="I53" i="5"/>
  <c r="R53" i="5"/>
  <c r="R203" i="5"/>
  <c r="I203" i="5"/>
  <c r="X203" i="5"/>
  <c r="H203" i="5"/>
  <c r="I223" i="5"/>
  <c r="X223" i="5"/>
  <c r="R223" i="5"/>
  <c r="H223" i="5"/>
  <c r="V57" i="5"/>
  <c r="H57" i="5"/>
  <c r="J57" i="5"/>
  <c r="I57" i="5"/>
  <c r="R57" i="5"/>
  <c r="X57" i="5"/>
  <c r="I159" i="5"/>
  <c r="H159" i="5"/>
  <c r="X159" i="5"/>
  <c r="R159" i="5"/>
  <c r="R183" i="5"/>
  <c r="I183" i="5"/>
  <c r="H183" i="5"/>
  <c r="X183" i="5"/>
  <c r="I67" i="5"/>
  <c r="H67" i="5"/>
  <c r="R67" i="5"/>
  <c r="V66" i="5"/>
  <c r="R66" i="5"/>
  <c r="V65" i="5"/>
  <c r="R65" i="5"/>
  <c r="T65" i="5"/>
  <c r="V64" i="5"/>
  <c r="R64" i="5"/>
  <c r="T64" i="5"/>
  <c r="J245" i="5"/>
  <c r="I245" i="5"/>
  <c r="H245" i="5"/>
  <c r="R245" i="5"/>
  <c r="H171" i="5"/>
  <c r="R171" i="5"/>
  <c r="I171" i="5"/>
  <c r="I147" i="5"/>
  <c r="R147" i="5"/>
  <c r="X166" i="5"/>
  <c r="X167" i="5"/>
  <c r="H147" i="5"/>
  <c r="X452" i="5"/>
  <c r="I199" i="5"/>
  <c r="X199" i="5"/>
  <c r="R199" i="5"/>
  <c r="H199" i="5"/>
  <c r="I51" i="5"/>
  <c r="R51" i="5"/>
  <c r="H51" i="5"/>
  <c r="R247" i="5"/>
  <c r="H247" i="5"/>
  <c r="I247" i="5"/>
  <c r="X247" i="5"/>
  <c r="V73" i="5"/>
  <c r="J73" i="5"/>
  <c r="T73" i="5" s="1"/>
  <c r="H73" i="5"/>
  <c r="I73" i="5"/>
  <c r="R73" i="5"/>
  <c r="X73" i="5"/>
  <c r="T519" i="5"/>
  <c r="R187" i="5"/>
  <c r="I187" i="5"/>
  <c r="H187" i="5"/>
  <c r="X187" i="5"/>
  <c r="R126" i="5"/>
  <c r="H126" i="5"/>
  <c r="X126" i="5"/>
  <c r="I126" i="5"/>
  <c r="V125" i="5"/>
  <c r="R123" i="5"/>
  <c r="I123" i="5"/>
  <c r="H123" i="5"/>
  <c r="X123" i="5"/>
  <c r="R42" i="5"/>
  <c r="H42" i="5"/>
  <c r="I42" i="5"/>
  <c r="X42" i="5"/>
  <c r="R166" i="5"/>
  <c r="J166" i="5"/>
  <c r="I166" i="5"/>
  <c r="H166" i="5"/>
  <c r="I75" i="5"/>
  <c r="H75" i="5"/>
  <c r="X75" i="5"/>
  <c r="R75" i="5"/>
  <c r="R198" i="5"/>
  <c r="H198" i="5"/>
  <c r="I198" i="5"/>
  <c r="X198" i="5"/>
  <c r="V453" i="5"/>
  <c r="H453" i="5"/>
  <c r="I453" i="5"/>
  <c r="X453" i="5"/>
  <c r="J453" i="5"/>
  <c r="T453" i="5" s="1"/>
  <c r="R453" i="5"/>
  <c r="X174" i="5"/>
  <c r="H49" i="5"/>
  <c r="J49" i="5"/>
  <c r="I49" i="5"/>
  <c r="R49" i="5"/>
  <c r="I436" i="5"/>
  <c r="R436" i="5"/>
  <c r="H436" i="5"/>
  <c r="X440" i="5"/>
  <c r="T434" i="5"/>
  <c r="J241" i="5"/>
  <c r="H45" i="5"/>
  <c r="J45" i="5"/>
  <c r="I45" i="5"/>
  <c r="R45" i="5"/>
  <c r="H219" i="5"/>
  <c r="I219" i="5"/>
  <c r="X219" i="5"/>
  <c r="R219" i="5"/>
  <c r="H235" i="5"/>
  <c r="I235" i="5"/>
  <c r="R235" i="5"/>
  <c r="H432" i="5"/>
  <c r="I432" i="5"/>
  <c r="R432" i="5"/>
  <c r="T431" i="5"/>
  <c r="T430" i="5"/>
  <c r="J437" i="5"/>
  <c r="T437" i="5" s="1"/>
  <c r="I437" i="5"/>
  <c r="H437" i="5"/>
  <c r="X444" i="5"/>
  <c r="R437" i="5"/>
  <c r="X437" i="5"/>
  <c r="I249" i="5"/>
  <c r="H249" i="5"/>
  <c r="R249" i="5"/>
  <c r="X249" i="5"/>
  <c r="I155" i="5"/>
  <c r="X155" i="5"/>
  <c r="R155" i="5"/>
  <c r="H155" i="5"/>
  <c r="I131" i="5"/>
  <c r="H131" i="5"/>
  <c r="X131" i="5"/>
  <c r="R131" i="5"/>
  <c r="H135" i="5"/>
  <c r="I135" i="5"/>
  <c r="X135" i="5"/>
  <c r="R135" i="5"/>
  <c r="H241" i="5"/>
  <c r="I241" i="5"/>
  <c r="R241" i="5"/>
  <c r="X241" i="5"/>
  <c r="H143" i="5"/>
  <c r="I143" i="5"/>
  <c r="X143" i="5"/>
  <c r="X177" i="5"/>
  <c r="R143" i="5"/>
  <c r="I139" i="5"/>
  <c r="X139" i="5"/>
  <c r="X193" i="5"/>
  <c r="R139" i="5"/>
  <c r="H139" i="5"/>
  <c r="H195" i="5"/>
  <c r="X195" i="5"/>
  <c r="I195" i="5"/>
  <c r="R195" i="5"/>
  <c r="J61" i="5"/>
  <c r="T61" i="5" s="1"/>
  <c r="H61" i="5"/>
  <c r="I61" i="5"/>
  <c r="X61" i="5"/>
  <c r="R61" i="5"/>
  <c r="R74" i="5"/>
  <c r="X90" i="5"/>
  <c r="I74" i="5"/>
  <c r="X78" i="5"/>
  <c r="H74" i="5"/>
  <c r="X74" i="5"/>
  <c r="V479" i="5"/>
  <c r="J479" i="5"/>
  <c r="T479" i="5" s="1"/>
  <c r="R479" i="5"/>
  <c r="H479" i="5"/>
  <c r="X479" i="5"/>
  <c r="I479" i="5"/>
  <c r="R125" i="5"/>
  <c r="T125" i="5"/>
  <c r="R59" i="5"/>
  <c r="I59" i="5"/>
  <c r="X63" i="5"/>
  <c r="H59" i="5"/>
  <c r="I225" i="5"/>
  <c r="H225" i="5"/>
  <c r="R225" i="5"/>
  <c r="X225" i="5"/>
  <c r="H127" i="5"/>
  <c r="I127" i="5"/>
  <c r="X127" i="5"/>
  <c r="R127" i="5"/>
  <c r="I38" i="5"/>
  <c r="X46" i="5"/>
  <c r="R38" i="5"/>
  <c r="H38" i="5"/>
  <c r="T233" i="5"/>
  <c r="I70" i="5"/>
  <c r="R70" i="5"/>
  <c r="H70" i="5"/>
  <c r="R58" i="5"/>
  <c r="X23" i="5"/>
  <c r="H58" i="5"/>
  <c r="I58" i="5"/>
  <c r="X58" i="5"/>
  <c r="I480" i="5"/>
  <c r="R480" i="5"/>
  <c r="H480" i="5"/>
  <c r="I528" i="5"/>
  <c r="R528" i="5"/>
  <c r="H528" i="5"/>
  <c r="T450" i="5"/>
  <c r="T121" i="5"/>
  <c r="T60" i="5"/>
  <c r="S70" i="5"/>
  <c r="S146" i="5"/>
  <c r="S246" i="5"/>
  <c r="S474" i="5"/>
  <c r="T53" i="5"/>
  <c r="T179" i="5"/>
  <c r="S44" i="5"/>
  <c r="S38" i="5"/>
  <c r="T471" i="5"/>
  <c r="T249" i="5"/>
  <c r="T420" i="5"/>
  <c r="T418" i="5"/>
  <c r="T57" i="5"/>
  <c r="S196" i="5"/>
  <c r="S58" i="5"/>
  <c r="S192" i="5"/>
  <c r="T176" i="5"/>
  <c r="S154" i="5"/>
  <c r="T159" i="5"/>
  <c r="T517" i="5"/>
  <c r="T193" i="5"/>
  <c r="T130" i="5"/>
  <c r="S200" i="5"/>
  <c r="T47" i="5"/>
  <c r="T222" i="5"/>
  <c r="T217" i="5"/>
  <c r="T419" i="5"/>
  <c r="S66" i="5"/>
  <c r="S182" i="5"/>
  <c r="T50" i="5"/>
  <c r="S233" i="5"/>
  <c r="T223" i="5"/>
  <c r="S518" i="5"/>
  <c r="T210" i="5"/>
  <c r="T123" i="5"/>
  <c r="T49" i="5"/>
  <c r="T468" i="5"/>
  <c r="T226" i="5"/>
  <c r="S214" i="5"/>
  <c r="S202" i="5"/>
  <c r="T58" i="5"/>
  <c r="T195" i="5"/>
  <c r="T219" i="5"/>
  <c r="S130" i="5"/>
  <c r="T174" i="5"/>
  <c r="T470" i="5"/>
  <c r="T157" i="5"/>
  <c r="S168" i="5"/>
  <c r="T241" i="5"/>
  <c r="S466" i="5"/>
  <c r="T154" i="5"/>
  <c r="T51" i="5"/>
  <c r="T443" i="5"/>
  <c r="T447" i="5"/>
  <c r="T142" i="5"/>
  <c r="T185" i="5"/>
  <c r="T167" i="5"/>
  <c r="T234" i="5"/>
  <c r="S128" i="5"/>
  <c r="S76" i="5"/>
  <c r="T126" i="5"/>
  <c r="S208" i="5"/>
  <c r="S458" i="5"/>
  <c r="S62" i="5"/>
  <c r="S162" i="5"/>
  <c r="S190" i="5"/>
  <c r="T189" i="5"/>
  <c r="T150" i="5"/>
  <c r="T148" i="5"/>
  <c r="S216" i="5"/>
  <c r="T171" i="5"/>
  <c r="S522" i="5"/>
  <c r="S42" i="5"/>
  <c r="T245" i="5"/>
  <c r="T178" i="5"/>
  <c r="T72" i="5"/>
  <c r="T173" i="5"/>
  <c r="T183" i="5"/>
  <c r="S250" i="5"/>
  <c r="T235" i="5"/>
  <c r="T476" i="5"/>
  <c r="S249" i="5"/>
  <c r="S174" i="5"/>
  <c r="S451" i="5"/>
  <c r="S206" i="5"/>
  <c r="T221" i="5"/>
  <c r="T187" i="5"/>
  <c r="T181" i="5"/>
  <c r="S217" i="5"/>
  <c r="T423" i="5"/>
  <c r="T131" i="5"/>
  <c r="T153" i="5"/>
  <c r="S198" i="5"/>
  <c r="T214" i="5"/>
  <c r="T145" i="5"/>
  <c r="T242" i="5"/>
  <c r="T149" i="5"/>
  <c r="T238" i="5"/>
  <c r="S142" i="5"/>
  <c r="T177" i="5"/>
  <c r="T138" i="5"/>
  <c r="T442" i="5"/>
  <c r="T134" i="5"/>
  <c r="S158" i="5"/>
  <c r="S122" i="5"/>
  <c r="S241" i="5"/>
  <c r="T180" i="5"/>
  <c r="T127" i="5"/>
  <c r="S218" i="5"/>
  <c r="T449" i="5"/>
  <c r="S220" i="5"/>
  <c r="T146" i="5"/>
  <c r="S74" i="5"/>
  <c r="S126" i="5"/>
  <c r="S242" i="5"/>
  <c r="T137" i="5"/>
  <c r="S234" i="5"/>
  <c r="T172" i="5"/>
  <c r="S138" i="5"/>
  <c r="T461" i="5"/>
  <c r="T129" i="5"/>
  <c r="T143" i="5"/>
  <c r="T55" i="5"/>
  <c r="T40" i="5"/>
  <c r="T424" i="5"/>
  <c r="T209" i="5"/>
  <c r="T77" i="5"/>
  <c r="T206" i="5"/>
  <c r="T427" i="5"/>
  <c r="S46" i="5"/>
  <c r="T76" i="5"/>
  <c r="T169" i="5"/>
  <c r="S194" i="5"/>
  <c r="T422" i="5"/>
  <c r="T39" i="5"/>
  <c r="T205" i="5"/>
  <c r="T166" i="5"/>
  <c r="S221" i="5"/>
  <c r="T225" i="5"/>
  <c r="T432" i="5"/>
  <c r="T446" i="5"/>
  <c r="S136" i="5"/>
  <c r="T250" i="5"/>
  <c r="T455" i="5"/>
  <c r="S213" i="5"/>
  <c r="S54" i="5"/>
  <c r="S50" i="5"/>
  <c r="T155" i="5"/>
  <c r="T46" i="5"/>
  <c r="T457" i="5"/>
  <c r="T247" i="5"/>
  <c r="T435" i="5"/>
  <c r="T459" i="5"/>
  <c r="T428" i="5"/>
  <c r="T48" i="5"/>
  <c r="T42" i="5"/>
  <c r="T190" i="5"/>
  <c r="T429" i="5"/>
  <c r="T45" i="5"/>
  <c r="T246" i="5"/>
  <c r="T44" i="5"/>
  <c r="S134" i="5"/>
  <c r="S525" i="5"/>
  <c r="T445" i="5"/>
  <c r="T38" i="5"/>
  <c r="T182" i="5"/>
  <c r="T75" i="5"/>
  <c r="T197" i="5"/>
  <c r="S521" i="5"/>
  <c r="T170" i="5"/>
  <c r="T52" i="5"/>
  <c r="T526" i="5"/>
  <c r="S48" i="5"/>
  <c r="T426" i="5"/>
  <c r="T14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<sst xmlns="http://schemas.openxmlformats.org/spreadsheetml/2006/main" count="25251" uniqueCount="15884">
  <si>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</si>
  <si>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</si>
  <si>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</si>
  <si>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</si>
  <si>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</si>
  <si>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</si>
  <si>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</si>
  <si>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</si>
  <si>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</si>
  <si>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</si>
  <si>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</si>
  <si>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</si>
  <si>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</si>
  <si>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</si>
  <si>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</si>
  <si>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</si>
  <si>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</si>
  <si>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</si>
  <si>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</si>
  <si>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</si>
  <si>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</si>
  <si>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</si>
  <si>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</si>
  <si>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</si>
  <si>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</si>
  <si>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</si>
  <si>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</si>
  <si>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</si>
  <si>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</si>
  <si>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</si>
  <si>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</si>
  <si>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</si>
  <si>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</si>
  <si>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</si>
  <si>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</si>
  <si>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</si>
  <si>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</si>
  <si>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</si>
  <si>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</si>
  <si>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</si>
  <si>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</si>
  <si>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</si>
  <si>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</si>
  <si>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</si>
  <si>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</si>
  <si>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</si>
  <si>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</si>
  <si>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</si>
  <si>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</si>
  <si>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</si>
  <si>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</si>
  <si>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</si>
  <si>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</si>
  <si>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</si>
  <si>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</si>
  <si>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</si>
  <si>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</si>
  <si>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</si>
  <si>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</si>
  <si>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</si>
  <si>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</si>
  <si>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</si>
  <si>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</si>
  <si>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</si>
  <si>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</si>
  <si>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</si>
  <si>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</si>
  <si>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</si>
  <si>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</si>
  <si>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</si>
  <si>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</si>
  <si>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</si>
  <si>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</si>
  <si>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</si>
  <si>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</si>
  <si>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</si>
  <si>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</si>
  <si>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</si>
  <si>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</si>
  <si>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</si>
  <si>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</si>
  <si>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</si>
  <si>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</si>
  <si>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</si>
  <si>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</si>
  <si>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</si>
  <si>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</si>
  <si>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</si>
  <si>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</si>
  <si>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</si>
  <si>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</si>
  <si>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</si>
  <si>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</si>
  <si>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</si>
  <si>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</si>
  <si>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</si>
  <si>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</si>
  <si>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</si>
  <si>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</si>
  <si>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</si>
  <si>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</si>
  <si>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</si>
  <si>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</si>
  <si>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</si>
  <si>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</si>
  <si>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</si>
  <si>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</si>
  <si>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</si>
  <si>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</si>
  <si>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</si>
  <si>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</si>
  <si>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</si>
  <si>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</si>
  <si>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</si>
  <si>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</si>
  <si>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</si>
  <si>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</si>
  <si>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</si>
  <si>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</si>
  <si>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</si>
  <si>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</si>
  <si>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</si>
  <si>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</si>
  <si>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</si>
  <si>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</si>
  <si>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</si>
  <si>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</si>
  <si>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</si>
  <si>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</si>
  <si>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</si>
  <si>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</si>
  <si>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</si>
  <si>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</si>
  <si>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</si>
  <si>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</si>
  <si>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</si>
  <si>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</si>
  <si>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</si>
  <si>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</si>
  <si>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</si>
  <si>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</si>
  <si>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</si>
  <si>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</si>
  <si>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</si>
  <si>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</si>
  <si>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</si>
  <si>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</si>
  <si>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</si>
  <si>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</si>
  <si>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</si>
  <si>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</si>
  <si>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</si>
  <si>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</si>
  <si>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</si>
  <si>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</si>
  <si>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</si>
  <si>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</si>
  <si>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</si>
  <si>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</si>
  <si>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</si>
  <si>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</si>
  <si>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</si>
  <si>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</si>
  <si>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</si>
  <si>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</si>
  <si>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</si>
  <si>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</si>
  <si>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</si>
  <si>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</si>
  <si>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</si>
  <si>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</si>
  <si>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</si>
  <si>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</si>
  <si>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</si>
  <si>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</si>
  <si>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</si>
  <si>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</si>
  <si>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</si>
  <si>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</si>
  <si>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</si>
  <si>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</si>
  <si>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</si>
  <si>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</si>
  <si>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</si>
  <si>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</si>
  <si>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</si>
  <si>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</si>
  <si>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</si>
  <si>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</si>
  <si>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</si>
  <si>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</si>
  <si>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</si>
  <si>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</si>
  <si>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</si>
  <si>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</si>
  <si>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</si>
  <si>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</si>
  <si>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</si>
  <si>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</si>
  <si>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</si>
  <si>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</si>
  <si>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</si>
  <si>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</si>
  <si>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</si>
  <si>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</si>
  <si>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</si>
  <si>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</si>
  <si>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</si>
  <si>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</si>
  <si>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</si>
  <si>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</si>
  <si>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</si>
  <si>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</si>
  <si>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</si>
  <si>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</si>
  <si>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</si>
  <si>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</si>
  <si>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</si>
  <si>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</si>
  <si>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</si>
  <si>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</si>
  <si>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</si>
  <si>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</si>
  <si>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</si>
  <si>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</si>
  <si>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</si>
  <si>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</si>
  <si>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</si>
  <si>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</si>
  <si>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</si>
  <si>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</si>
  <si>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</si>
  <si>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</si>
  <si>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</si>
  <si>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</si>
  <si>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</si>
  <si>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</si>
  <si>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</si>
  <si>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</si>
  <si>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</si>
  <si>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</si>
  <si>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</si>
  <si>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</si>
  <si>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</si>
  <si>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</si>
  <si>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</si>
  <si>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</si>
  <si>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</si>
  <si>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</si>
  <si>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</si>
  <si>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</si>
  <si>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</si>
  <si>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</si>
  <si>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</si>
  <si>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</si>
  <si>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</si>
  <si>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</si>
  <si>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</si>
  <si>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</si>
  <si>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</si>
  <si>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</si>
  <si>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</si>
  <si>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</si>
  <si>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</si>
  <si>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</si>
  <si>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</si>
  <si>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</si>
  <si>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</si>
  <si>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</si>
  <si>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</si>
  <si>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</si>
  <si>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</si>
  <si>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</si>
  <si>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</si>
  <si>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</si>
  <si>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</si>
  <si>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</si>
  <si>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</si>
  <si>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</si>
  <si>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</si>
  <si>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</si>
  <si>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</si>
  <si>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</si>
  <si>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</si>
  <si>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</si>
  <si>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</si>
  <si>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</si>
  <si>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</si>
  <si>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</si>
  <si>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</si>
  <si>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</si>
  <si>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</si>
  <si>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</si>
  <si>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</si>
  <si>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</si>
  <si>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</si>
  <si>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</si>
  <si>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</si>
  <si>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</si>
  <si>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</si>
  <si>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</si>
  <si>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</si>
  <si>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</si>
  <si>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</si>
  <si>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</si>
  <si>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</si>
  <si>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</si>
  <si>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</si>
  <si>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</si>
  <si>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</si>
  <si>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</si>
  <si>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</si>
  <si>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</si>
  <si>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</si>
  <si>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</si>
  <si>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</si>
  <si>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</si>
  <si>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</si>
  <si>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</si>
  <si>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</si>
  <si>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</si>
  <si>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</si>
  <si>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</si>
  <si>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</si>
  <si>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</si>
  <si>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</si>
  <si>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</si>
  <si>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</si>
  <si>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</si>
  <si>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</si>
  <si>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</si>
  <si>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</si>
  <si>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</si>
  <si>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</si>
  <si>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</si>
  <si>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</si>
  <si>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</si>
  <si>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</si>
  <si>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</si>
  <si>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</si>
  <si>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</si>
  <si>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</si>
  <si>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</si>
  <si>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</si>
  <si>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</si>
  <si>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</si>
  <si>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</si>
  <si>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</si>
  <si>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</si>
  <si>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</si>
  <si>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</si>
  <si>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</si>
  <si>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</si>
  <si>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</si>
  <si>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</si>
  <si>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</si>
  <si>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</si>
  <si>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</si>
  <si>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</si>
  <si>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</si>
  <si>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</si>
  <si>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</si>
  <si>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</si>
  <si>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</si>
  <si>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</si>
  <si>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</si>
  <si>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</si>
  <si>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</si>
  <si>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</si>
  <si>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</si>
  <si>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</si>
  <si>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</si>
  <si>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</si>
  <si>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</si>
  <si>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</si>
  <si>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</si>
  <si>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</si>
  <si>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</si>
  <si>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</si>
  <si>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</si>
  <si>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</si>
  <si>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</si>
  <si>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</si>
  <si>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</si>
  <si>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</si>
  <si>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</si>
  <si>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</si>
  <si>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</si>
  <si>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</si>
  <si>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</si>
  <si>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</si>
  <si>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</si>
  <si>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</si>
  <si>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</si>
  <si>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</si>
  <si>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</si>
  <si>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</si>
  <si>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</si>
  <si>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</si>
  <si>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</si>
  <si>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</si>
  <si>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</si>
  <si>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</si>
  <si>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</si>
  <si>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</si>
  <si>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</si>
  <si>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</si>
  <si>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</si>
  <si>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</si>
  <si>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</si>
  <si>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</si>
  <si>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</si>
  <si>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</si>
  <si>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</si>
  <si>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</si>
  <si>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</si>
  <si>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</si>
  <si>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</si>
  <si>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</si>
  <si>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</si>
  <si>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</si>
  <si>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</si>
  <si>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</si>
  <si>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</si>
  <si>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</si>
  <si>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</si>
  <si>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</si>
  <si>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</si>
  <si>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</si>
  <si>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</si>
  <si>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</si>
  <si>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</si>
  <si>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</si>
  <si>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</si>
  <si>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</si>
  <si>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</si>
  <si>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</si>
  <si>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</si>
  <si>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</si>
  <si>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</si>
  <si>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</si>
  <si>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</si>
  <si>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</si>
  <si>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</si>
  <si>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</si>
  <si>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</si>
  <si>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</si>
  <si>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</si>
  <si>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</si>
  <si>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</si>
  <si>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</si>
  <si>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</si>
  <si>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</si>
  <si>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</si>
  <si>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</si>
  <si>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</si>
  <si>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</si>
  <si>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</si>
  <si>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</si>
  <si>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</si>
  <si>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</si>
  <si>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</si>
  <si>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</si>
  <si>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</si>
  <si>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</si>
  <si>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</si>
  <si>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</si>
  <si>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</si>
  <si>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</si>
  <si>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</si>
  <si>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</si>
  <si>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</si>
  <si>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</si>
  <si>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</si>
  <si>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</si>
  <si>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</si>
  <si>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</si>
  <si>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</si>
  <si>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</si>
  <si>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</si>
  <si>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</si>
  <si>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</si>
  <si>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</si>
  <si>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</si>
  <si>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</si>
  <si>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</si>
  <si>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</si>
  <si>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</si>
  <si>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</si>
  <si>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</si>
  <si>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</si>
  <si>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</si>
  <si>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</si>
  <si>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</si>
  <si>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</si>
  <si>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</si>
  <si>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</si>
  <si>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</si>
  <si>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</si>
  <si>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</si>
  <si>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</si>
  <si>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</si>
  <si>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</si>
  <si>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</si>
  <si>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</si>
  <si>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</si>
  <si>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</si>
  <si>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</si>
  <si>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</si>
  <si>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</si>
  <si>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</si>
  <si>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</si>
  <si>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</si>
  <si>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</si>
  <si>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</si>
  <si>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</si>
  <si>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</si>
  <si>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</si>
  <si>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</si>
  <si>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</si>
  <si>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</si>
  <si>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</si>
  <si>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</si>
  <si>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</si>
  <si>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</si>
  <si>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</si>
  <si>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</si>
  <si>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</si>
  <si>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</si>
  <si>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</si>
  <si>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</si>
  <si>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</si>
  <si>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</si>
  <si>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</si>
  <si>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</si>
  <si>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</si>
  <si>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</si>
  <si>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</si>
  <si>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</si>
  <si>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</si>
  <si>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</si>
  <si>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</si>
  <si>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</si>
  <si>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</si>
  <si>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</si>
  <si>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</si>
  <si>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</si>
  <si>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</si>
  <si>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</si>
  <si>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</si>
  <si>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</si>
  <si>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</si>
  <si>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</si>
  <si>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</si>
  <si>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</si>
  <si>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</si>
  <si>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</si>
  <si>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</si>
  <si>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</si>
  <si>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</si>
  <si>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</si>
  <si>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</si>
  <si>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</si>
  <si>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</si>
  <si>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</si>
  <si>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</si>
  <si>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</si>
  <si>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</si>
  <si>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</si>
  <si>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</si>
  <si>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</si>
  <si>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</si>
  <si>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</si>
  <si>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</si>
  <si>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</si>
  <si>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</si>
  <si>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</si>
  <si>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</si>
  <si>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</si>
  <si>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</si>
  <si>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</si>
  <si>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</si>
  <si>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</si>
  <si>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</si>
  <si>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</si>
  <si>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</si>
  <si>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</si>
  <si>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</si>
  <si>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</si>
  <si>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</si>
  <si>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</si>
  <si>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</si>
  <si>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</si>
  <si>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</si>
  <si>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</si>
  <si>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</si>
  <si>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</si>
  <si>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</si>
  <si>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</si>
  <si>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</si>
  <si>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</si>
  <si>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</si>
  <si>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</si>
  <si>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</si>
  <si>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</si>
  <si>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</si>
  <si>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</si>
  <si>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</si>
  <si>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</si>
  <si>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</si>
  <si>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</si>
  <si>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</si>
  <si>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</si>
  <si>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</si>
  <si>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</si>
  <si>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</si>
  <si>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</si>
  <si>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</si>
  <si>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</si>
  <si>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</si>
  <si>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</si>
  <si>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</si>
  <si>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</si>
  <si>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</si>
  <si>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</si>
  <si>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</si>
  <si>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</si>
  <si>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</si>
  <si>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</si>
  <si>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</si>
  <si>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</si>
  <si>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</si>
  <si>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</si>
  <si>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</si>
  <si>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</si>
  <si>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</si>
  <si>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</si>
  <si>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</si>
  <si>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</si>
  <si>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</si>
  <si>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</si>
  <si>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</si>
  <si>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</si>
  <si>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</si>
  <si>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</si>
  <si>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</si>
  <si>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</si>
  <si>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</si>
  <si>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</si>
  <si>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</si>
  <si>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</si>
  <si>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</si>
  <si>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</si>
  <si>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</si>
  <si>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</si>
  <si>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</si>
  <si>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</si>
  <si>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</si>
  <si>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</si>
  <si>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</si>
  <si>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</si>
  <si>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</si>
  <si>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</si>
  <si>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</si>
  <si>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</si>
  <si>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</si>
  <si>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</si>
  <si>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</si>
  <si>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</si>
  <si>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</si>
  <si>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</si>
  <si>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</si>
  <si>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</si>
  <si>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</si>
  <si>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</si>
  <si>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</si>
  <si>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</si>
  <si>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</si>
  <si>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</si>
  <si>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</si>
  <si>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</si>
  <si>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</si>
  <si>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</si>
  <si>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</si>
  <si>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</si>
  <si>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</si>
  <si>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</si>
  <si>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</si>
  <si>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</si>
  <si>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</si>
  <si>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</si>
  <si>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</si>
  <si>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</si>
  <si>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</si>
  <si>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</si>
  <si>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</si>
  <si>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</si>
  <si>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</si>
  <si>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</si>
  <si>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</si>
  <si>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</si>
  <si>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</si>
  <si>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</si>
  <si>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</si>
  <si>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</si>
  <si>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</si>
  <si>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</si>
  <si>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</si>
  <si>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</si>
  <si>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</si>
  <si>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</si>
  <si>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</si>
  <si>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</si>
  <si>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</si>
  <si>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</si>
  <si>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</si>
  <si>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</si>
  <si>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</si>
  <si>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</si>
  <si>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</si>
  <si>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</si>
  <si>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</si>
  <si>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</si>
  <si>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</si>
  <si>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</si>
  <si>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</si>
  <si>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</si>
  <si>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</si>
  <si>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</si>
  <si>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</si>
  <si>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</si>
  <si>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</si>
  <si>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</si>
  <si>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</si>
  <si>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</si>
  <si>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</si>
  <si>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</si>
  <si>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</si>
  <si>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</si>
  <si>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</si>
  <si>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</si>
  <si>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</si>
  <si>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</si>
  <si>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</si>
  <si>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</si>
  <si>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</si>
  <si>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</si>
  <si>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</si>
  <si>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</si>
  <si>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</si>
  <si>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</si>
  <si>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</si>
  <si>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</si>
  <si>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</si>
  <si>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</si>
  <si>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</si>
  <si>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</si>
  <si>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</si>
  <si>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</si>
  <si>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</si>
  <si>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</si>
  <si>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</si>
  <si>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</si>
  <si>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</si>
  <si>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</si>
  <si>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</si>
  <si>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</si>
  <si>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</si>
  <si>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</si>
  <si>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</si>
  <si>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</si>
  <si>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</si>
  <si>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</si>
  <si>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</si>
  <si>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</si>
  <si>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</si>
  <si>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</si>
  <si>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</si>
  <si>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</si>
  <si>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</si>
  <si>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</si>
  <si>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</si>
  <si>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</si>
  <si>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</si>
  <si>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</si>
  <si>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</si>
  <si>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</si>
  <si>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</si>
  <si>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</si>
  <si>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</si>
  <si>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</si>
  <si>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</si>
  <si>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</si>
  <si>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</si>
  <si>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</si>
  <si>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</si>
  <si>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</si>
  <si>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</si>
  <si>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</si>
  <si>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</si>
  <si>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</si>
  <si>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</si>
  <si>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</si>
  <si>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</si>
  <si>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</si>
  <si>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</si>
  <si>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</si>
  <si>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</si>
  <si>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</si>
  <si>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</si>
  <si>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</si>
  <si>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</si>
  <si>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</si>
  <si>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</si>
  <si>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</si>
  <si>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</si>
  <si>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</si>
  <si>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</si>
  <si>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</si>
  <si>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</si>
  <si>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</si>
  <si>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</si>
  <si>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</si>
  <si>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</si>
  <si>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</si>
  <si>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</si>
  <si>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</si>
  <si>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</si>
  <si>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</si>
  <si>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</si>
  <si>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</si>
  <si>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</si>
  <si>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</si>
  <si>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</si>
  <si>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</si>
  <si>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</si>
  <si>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</si>
  <si>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</si>
  <si>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</si>
  <si>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</si>
  <si>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</si>
  <si>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</si>
  <si>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</si>
  <si>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</si>
  <si>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</si>
  <si>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</si>
  <si>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</si>
  <si>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</si>
  <si>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</si>
  <si>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</si>
  <si>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</si>
  <si>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</si>
  <si>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</si>
  <si>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</si>
  <si>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</si>
  <si>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</si>
  <si>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</si>
  <si>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</si>
  <si>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</si>
  <si>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</si>
  <si>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</si>
  <si>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</si>
  <si>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</si>
  <si>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</si>
  <si>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</si>
  <si>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</si>
  <si>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</si>
  <si>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</si>
  <si>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</si>
  <si>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</si>
  <si>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</si>
  <si>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</si>
  <si>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</si>
  <si>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</si>
  <si>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</si>
  <si>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</si>
  <si>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</si>
  <si>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</si>
  <si>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</si>
  <si>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</si>
  <si>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</si>
  <si>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</si>
  <si>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</si>
  <si>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</si>
  <si>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</si>
  <si>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</si>
  <si>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</si>
  <si>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</si>
  <si>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</si>
  <si>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</si>
  <si>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</si>
  <si>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</si>
  <si>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</si>
  <si>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</si>
  <si>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</si>
  <si>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</si>
  <si>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</si>
  <si>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</si>
  <si>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</si>
  <si>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</si>
  <si>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</si>
  <si>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</si>
  <si>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</si>
  <si>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</si>
  <si>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</si>
  <si>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</si>
  <si>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</si>
  <si>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</si>
  <si>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</si>
  <si>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</si>
  <si>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</si>
  <si>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</si>
  <si>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</si>
  <si>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</si>
  <si>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</si>
  <si>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</si>
  <si>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</si>
  <si>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</si>
  <si>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</si>
  <si>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</si>
  <si>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</si>
  <si>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</si>
  <si>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</si>
  <si>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</si>
  <si>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</si>
  <si>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</si>
  <si>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</si>
  <si>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</si>
  <si>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</si>
  <si>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</si>
  <si>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</si>
  <si>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</si>
  <si>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</si>
  <si>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</si>
  <si>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</si>
  <si>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</si>
  <si>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</si>
  <si>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</si>
  <si>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</si>
  <si>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</si>
  <si>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</si>
  <si>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</si>
  <si>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</si>
  <si>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</si>
  <si>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</si>
  <si>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</si>
  <si>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</si>
  <si>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</si>
  <si>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</si>
  <si>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</si>
  <si>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</si>
  <si>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</si>
  <si>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</si>
  <si>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</si>
  <si>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</si>
  <si>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</si>
  <si>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</si>
  <si>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</si>
  <si>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</si>
  <si>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</si>
  <si>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</si>
  <si>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</si>
  <si>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</si>
  <si>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</si>
  <si>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</si>
  <si>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</si>
  <si>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</si>
  <si>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</si>
  <si>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</si>
  <si>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</si>
  <si>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</si>
  <si>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</si>
  <si>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</si>
  <si>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</si>
  <si>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</si>
  <si>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</si>
  <si>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</si>
  <si>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</si>
  <si>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</si>
  <si>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</si>
  <si>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</si>
  <si>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</si>
  <si>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</si>
  <si>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</si>
  <si>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</si>
  <si>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</si>
  <si>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</si>
  <si>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</si>
  <si>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</si>
  <si>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</si>
  <si>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</si>
  <si>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</si>
  <si>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</si>
  <si>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</si>
  <si>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</si>
  <si>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</si>
  <si>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</si>
  <si>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</si>
  <si>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</si>
  <si>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</si>
  <si>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</si>
  <si>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</si>
  <si>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</si>
  <si>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</si>
  <si>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</si>
  <si>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</si>
  <si>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</si>
  <si>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</si>
  <si>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</si>
  <si>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</si>
  <si>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</si>
  <si>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</si>
  <si>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</si>
  <si>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</si>
  <si>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</si>
  <si>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</si>
  <si>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</si>
  <si>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</si>
  <si>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</si>
  <si>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</si>
  <si>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</si>
  <si>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</si>
  <si>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</si>
  <si>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</si>
  <si>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</si>
  <si>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</si>
  <si>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</si>
  <si>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</si>
  <si>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</si>
  <si>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</si>
  <si>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</si>
  <si>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</si>
  <si>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</si>
  <si>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</si>
  <si>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</si>
  <si>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</si>
  <si>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</si>
  <si>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</si>
  <si>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</si>
  <si>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</si>
  <si>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</si>
  <si>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</si>
  <si>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</si>
  <si>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</si>
  <si>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</si>
  <si>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</si>
  <si>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</si>
  <si>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</si>
  <si>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</si>
  <si>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</si>
  <si>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</si>
  <si>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</si>
  <si>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</si>
  <si>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</si>
  <si>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</si>
  <si>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</si>
  <si>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</si>
  <si>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</si>
  <si>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</si>
  <si>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</si>
  <si>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</si>
  <si>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</si>
  <si>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</si>
  <si>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</si>
  <si>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</si>
  <si>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</si>
  <si>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</si>
  <si>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</si>
  <si>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</si>
  <si>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</si>
  <si>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</si>
  <si>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</si>
  <si>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</si>
  <si>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</si>
  <si>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</si>
  <si>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</si>
  <si>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</si>
  <si>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</si>
  <si>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</si>
  <si>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</si>
  <si>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</si>
  <si>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</si>
  <si>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</si>
  <si>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</si>
  <si>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</si>
  <si>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</si>
  <si>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</si>
  <si>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</si>
  <si>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</si>
  <si>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</si>
  <si>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</si>
  <si>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</si>
  <si>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</si>
  <si>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</si>
  <si>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</si>
  <si>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</si>
  <si>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</si>
  <si>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</si>
  <si>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</si>
  <si>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</si>
  <si>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</si>
  <si>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</si>
  <si>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</si>
  <si>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</si>
  <si>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</si>
  <si>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</si>
  <si>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</si>
  <si>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</si>
  <si>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</si>
  <si>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</si>
  <si>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</si>
  <si>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</si>
  <si>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</si>
  <si>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</si>
  <si>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</si>
  <si>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</si>
  <si>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</si>
  <si>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</si>
  <si>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</si>
  <si>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</si>
  <si>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</si>
  <si>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</si>
  <si>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</si>
  <si>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</si>
  <si>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</si>
  <si>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</si>
  <si>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</si>
  <si>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</si>
  <si>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</si>
  <si>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</si>
  <si>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</si>
  <si>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</si>
  <si>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</si>
  <si>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</si>
  <si>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</si>
  <si>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</si>
  <si>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</si>
  <si>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</si>
  <si>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</si>
  <si>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</si>
  <si>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</si>
  <si>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</si>
  <si>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</si>
  <si>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</si>
  <si>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</si>
  <si>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</si>
  <si>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</si>
  <si>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</si>
  <si>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</si>
  <si>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</si>
  <si>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</si>
  <si>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</si>
  <si>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</si>
  <si>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</si>
  <si>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</si>
  <si>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</si>
  <si>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</si>
  <si>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</si>
  <si>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</si>
  <si>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</si>
  <si>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</si>
  <si>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</si>
  <si>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</si>
  <si>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</si>
  <si>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</si>
  <si>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</si>
  <si>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</si>
  <si>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</si>
  <si>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</si>
  <si>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</si>
  <si>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</si>
  <si>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</si>
  <si>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</si>
  <si>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</si>
  <si>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</si>
  <si>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</si>
  <si>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</si>
  <si>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</si>
  <si>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</si>
  <si>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</si>
  <si>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</si>
  <si>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</si>
  <si>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</si>
  <si>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</si>
  <si>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</si>
  <si>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</si>
  <si>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</si>
  <si>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</si>
  <si>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</si>
  <si>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</si>
  <si>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</si>
  <si>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</si>
  <si>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</si>
  <si>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</si>
  <si>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</si>
  <si>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</si>
  <si>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</si>
  <si>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</si>
  <si>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</si>
  <si>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</si>
  <si>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</si>
  <si>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</si>
  <si>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</si>
  <si>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</si>
  <si>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</si>
  <si>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</si>
  <si>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</si>
  <si>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</si>
  <si>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</si>
  <si>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</si>
  <si>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</si>
  <si>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</si>
  <si>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</si>
  <si>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</si>
  <si>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</si>
  <si>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</si>
  <si>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</si>
  <si>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</si>
  <si>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</si>
  <si>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</si>
  <si>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</si>
  <si>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</si>
  <si>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</si>
  <si>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</si>
  <si>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</si>
  <si>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</si>
  <si>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</si>
  <si>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</si>
  <si>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</si>
  <si>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</si>
  <si>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</si>
  <si>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</si>
  <si>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</si>
  <si>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</si>
  <si>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</si>
  <si>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</si>
  <si>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</si>
  <si>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</si>
  <si>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</si>
  <si>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</si>
  <si>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</si>
  <si>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</si>
  <si>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</si>
  <si>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</si>
  <si>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</si>
  <si>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</si>
  <si>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</si>
  <si>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</si>
  <si>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</si>
  <si>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</si>
  <si>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</si>
  <si>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</si>
  <si>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</si>
  <si>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</si>
  <si>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</si>
  <si>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</si>
  <si>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</si>
  <si>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</si>
  <si>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</si>
  <si>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</si>
  <si>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</si>
  <si>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</si>
  <si>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</si>
  <si>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</si>
  <si>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</si>
  <si>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</si>
  <si>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</si>
  <si>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</si>
  <si>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</si>
  <si>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</si>
  <si>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</si>
  <si>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</si>
  <si>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</si>
  <si>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</si>
  <si>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</si>
  <si>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</si>
  <si>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</si>
  <si>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</si>
  <si>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</si>
  <si>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</si>
  <si>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</si>
  <si>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</si>
  <si>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</si>
  <si>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</si>
  <si>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</si>
  <si>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</si>
  <si>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</si>
  <si>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</si>
  <si>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</si>
  <si>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</si>
  <si>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</si>
  <si>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</si>
  <si>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</si>
  <si>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</si>
  <si>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</si>
  <si>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</si>
  <si>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</si>
  <si>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</si>
  <si>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</si>
  <si>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</si>
  <si>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</si>
  <si>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</si>
  <si>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</si>
  <si>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</si>
  <si>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</si>
  <si>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</si>
  <si>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</si>
  <si>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</si>
  <si>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</si>
  <si>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</si>
  <si>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</si>
  <si>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</si>
  <si>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</si>
  <si>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</si>
  <si>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</si>
  <si>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</si>
  <si>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</si>
  <si>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</si>
  <si>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</si>
  <si>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</si>
  <si>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</si>
  <si>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</si>
  <si>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</si>
  <si>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</si>
  <si>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</si>
  <si>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</si>
  <si>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</si>
  <si>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</si>
  <si>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</si>
  <si>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</si>
  <si>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</si>
  <si>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</si>
  <si>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</si>
  <si>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</si>
  <si>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</si>
  <si>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</si>
  <si>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</si>
  <si>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</si>
  <si>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</si>
  <si>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</si>
  <si>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</si>
  <si>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</si>
  <si>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</si>
  <si>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</si>
  <si>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</si>
  <si>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</si>
  <si>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</si>
  <si>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</si>
  <si>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</si>
  <si>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</si>
  <si>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</si>
  <si>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</si>
  <si>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</si>
  <si>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</si>
  <si>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</si>
  <si>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</si>
  <si>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</si>
  <si>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</si>
  <si>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</si>
  <si>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</si>
  <si>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</si>
  <si>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</si>
  <si>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</si>
  <si>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</si>
  <si>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</si>
  <si>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</si>
  <si>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</si>
  <si>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</si>
  <si>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</si>
  <si>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</si>
  <si>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</si>
  <si>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</si>
  <si>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</si>
  <si>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</si>
  <si>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</si>
  <si>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</si>
  <si>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</si>
  <si>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</si>
  <si>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</si>
  <si>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</si>
  <si>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</si>
  <si>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</si>
  <si>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</si>
  <si>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</si>
  <si>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</si>
  <si>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</si>
  <si>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</si>
  <si>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</si>
  <si>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</si>
  <si>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</si>
  <si>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</si>
  <si>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</si>
  <si>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</si>
  <si>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</si>
  <si>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</si>
  <si>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</si>
  <si>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</si>
  <si>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</si>
  <si>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</si>
  <si>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</si>
  <si>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</si>
  <si>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</si>
  <si>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</si>
  <si>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</si>
  <si>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</si>
  <si>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</si>
  <si>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</si>
  <si>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</si>
  <si>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</si>
  <si>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</si>
  <si>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</si>
  <si>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</si>
  <si>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</si>
  <si>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</si>
  <si>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</si>
  <si>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</si>
  <si>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</si>
  <si>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</si>
  <si>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</si>
  <si>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</si>
  <si>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</si>
  <si>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</si>
  <si>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</si>
  <si>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</si>
  <si>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</si>
  <si>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</si>
  <si>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</si>
  <si>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</si>
  <si>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</si>
  <si>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</si>
  <si>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</si>
  <si>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</si>
  <si>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</si>
  <si>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</si>
  <si>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</si>
  <si>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</si>
  <si>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</si>
  <si>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</si>
  <si>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</si>
  <si>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</si>
  <si>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</si>
  <si>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</si>
  <si>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</si>
  <si>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</si>
  <si>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</si>
  <si>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</si>
  <si>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</si>
  <si>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</si>
  <si>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</si>
  <si>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</si>
  <si>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</si>
  <si>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</si>
  <si>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</si>
  <si>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</si>
  <si>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</si>
  <si>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</si>
  <si>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</si>
  <si>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</si>
  <si>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</si>
  <si>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</si>
  <si>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</si>
  <si>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</si>
  <si>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</si>
  <si>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</si>
  <si>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</si>
  <si>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</si>
  <si>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</si>
  <si>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</si>
  <si>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</si>
  <si>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</si>
  <si>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</si>
  <si>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</si>
  <si>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</si>
  <si>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</si>
  <si>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</si>
  <si>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</si>
  <si>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</si>
  <si>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</si>
  <si>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</si>
  <si>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</si>
  <si>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</si>
  <si>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</si>
  <si>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</si>
  <si>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</si>
  <si>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</si>
  <si>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</si>
  <si>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</si>
  <si>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</si>
  <si>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</si>
  <si>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</si>
  <si>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</si>
  <si>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</si>
  <si>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</si>
  <si>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</si>
  <si>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</si>
  <si>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</si>
  <si>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</si>
  <si>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</si>
  <si>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</si>
  <si>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</si>
  <si>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</si>
  <si>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</si>
  <si>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</si>
  <si>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</si>
  <si>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</si>
  <si>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</si>
  <si>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</si>
  <si>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</si>
  <si>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</si>
  <si>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</si>
  <si>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</si>
  <si>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</si>
  <si>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</si>
  <si>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</si>
  <si>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</si>
  <si>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</si>
  <si>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</si>
  <si>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</si>
  <si>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</si>
  <si>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</si>
  <si>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</si>
  <si>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</si>
  <si>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</si>
  <si>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</si>
  <si>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</si>
  <si>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</si>
  <si>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</si>
  <si>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</si>
  <si>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</si>
  <si>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</si>
  <si>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</si>
  <si>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</si>
  <si>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</si>
  <si>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</si>
  <si>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</si>
  <si>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</si>
  <si>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</si>
  <si>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</si>
  <si>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</si>
  <si>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</si>
  <si>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</si>
  <si>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</si>
  <si>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</si>
  <si>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</si>
  <si>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</si>
  <si>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</si>
  <si>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</si>
  <si>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</si>
  <si>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</si>
  <si>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</si>
  <si>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</si>
  <si>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</si>
  <si>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</si>
  <si>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</si>
  <si>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</si>
  <si>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</si>
  <si>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</si>
  <si>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</si>
  <si>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</si>
  <si>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</si>
  <si>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</si>
  <si>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</si>
  <si>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</si>
  <si>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</si>
  <si>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</si>
  <si>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</si>
  <si>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</si>
  <si>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</si>
  <si>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</si>
  <si>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</si>
  <si>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</si>
  <si>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</si>
  <si>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</si>
  <si>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</si>
  <si>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</si>
  <si>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</si>
  <si>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</si>
  <si>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</si>
  <si>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</si>
  <si>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</si>
  <si>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</si>
  <si>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</si>
  <si>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</si>
  <si>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</si>
  <si>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</si>
  <si>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</si>
  <si>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</si>
  <si>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</si>
  <si>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</si>
  <si>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</si>
  <si>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</si>
  <si>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</si>
  <si>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</si>
  <si>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</si>
  <si>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</si>
  <si>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</si>
  <si>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</si>
  <si>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</si>
  <si>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</si>
  <si>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</si>
  <si>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</si>
  <si>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</si>
  <si>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</si>
  <si>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</si>
  <si>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</si>
  <si>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</si>
  <si>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</si>
  <si>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</si>
  <si>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</si>
  <si>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</si>
  <si>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</si>
  <si>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</si>
  <si>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</si>
  <si>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</si>
  <si>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</si>
  <si>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</si>
  <si>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</si>
  <si>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</si>
  <si>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</si>
  <si>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</si>
  <si>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</si>
  <si>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</si>
  <si>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</si>
  <si>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</si>
  <si>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</si>
  <si>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</si>
  <si>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</si>
  <si>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</si>
  <si>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</si>
  <si>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</si>
  <si>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</si>
  <si>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</si>
  <si>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</si>
  <si>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</si>
  <si>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</si>
  <si>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</si>
  <si>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</si>
  <si>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</si>
  <si>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</si>
  <si>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</si>
  <si>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</si>
  <si>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</si>
  <si>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</si>
  <si>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</si>
  <si>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</si>
  <si>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</si>
  <si>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</si>
  <si>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</si>
  <si>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</si>
  <si>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</si>
  <si>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</si>
  <si>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</si>
  <si>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</si>
  <si>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</si>
  <si>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</si>
  <si>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</si>
  <si>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</si>
  <si>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</si>
  <si>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</si>
  <si>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</si>
  <si>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</si>
  <si>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</si>
  <si>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</si>
  <si>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</si>
  <si>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</si>
  <si>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</si>
  <si>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</si>
  <si>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</si>
  <si>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</si>
  <si>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</si>
  <si>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</si>
  <si>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</si>
  <si>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</si>
  <si>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</si>
  <si>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</si>
  <si>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</si>
  <si>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</si>
  <si>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</si>
  <si>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</si>
  <si>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</si>
  <si>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</si>
  <si>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</si>
  <si>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</si>
  <si>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</si>
  <si>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</si>
  <si>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</si>
  <si>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</si>
  <si>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</si>
  <si>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</si>
  <si>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</si>
  <si>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</si>
  <si>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</si>
  <si>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</si>
  <si>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</si>
  <si>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</si>
  <si>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</si>
  <si>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</si>
  <si>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</si>
  <si>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</si>
  <si>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</si>
  <si>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</si>
  <si>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</si>
  <si>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</si>
  <si>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</si>
  <si>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</si>
  <si>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</si>
  <si>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</si>
  <si>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</si>
  <si>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</si>
  <si>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</si>
  <si>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</si>
  <si>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</si>
  <si>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</si>
  <si>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</si>
  <si>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</si>
  <si>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</si>
  <si>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</si>
  <si>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</si>
  <si>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</si>
  <si>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</si>
  <si>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</si>
  <si>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</si>
  <si>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</si>
  <si>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</si>
  <si>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</si>
  <si>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</si>
  <si>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</si>
  <si>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</si>
  <si>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</si>
  <si>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</si>
  <si>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</si>
  <si>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</si>
  <si>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</si>
  <si>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</si>
  <si>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</si>
  <si>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</si>
  <si>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</si>
  <si>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</si>
  <si>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</si>
  <si>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</si>
  <si>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</si>
  <si>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</si>
  <si>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</si>
  <si>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</si>
  <si>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</si>
  <si>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</si>
  <si>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</si>
  <si>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</si>
  <si>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</si>
  <si>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</si>
  <si>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</si>
  <si>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</si>
  <si>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</si>
  <si>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</si>
  <si>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</si>
  <si>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</si>
  <si>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</si>
  <si>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</si>
  <si>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</si>
  <si>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</si>
  <si>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</si>
  <si>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</si>
  <si>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</si>
  <si>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</si>
  <si>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</si>
  <si>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</si>
  <si>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</si>
  <si>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</si>
  <si>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</si>
  <si>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</si>
  <si>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</si>
  <si>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</si>
  <si>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</si>
  <si>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</si>
  <si>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</si>
  <si>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</si>
  <si>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</si>
  <si>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</si>
  <si>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</si>
  <si>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</si>
  <si>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</si>
  <si>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</si>
  <si>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</si>
  <si>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</si>
  <si>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</si>
  <si>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</si>
  <si>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</si>
  <si>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</si>
  <si>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</si>
  <si>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</si>
  <si>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</si>
  <si>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</si>
  <si>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</si>
  <si>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</si>
  <si>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</si>
  <si>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</si>
  <si>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</si>
  <si>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</si>
  <si>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</si>
  <si>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</si>
  <si>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</si>
  <si>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</si>
  <si>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</si>
  <si>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</si>
  <si>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</si>
  <si>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</si>
  <si>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</si>
  <si>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</si>
  <si>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</si>
  <si>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</si>
  <si>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</si>
  <si>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</si>
  <si>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</si>
  <si>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</si>
  <si>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</si>
  <si>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</si>
  <si>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</si>
  <si>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</si>
  <si>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</si>
  <si>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</si>
  <si>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</si>
  <si>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</si>
  <si>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</si>
  <si>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</si>
  <si>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</si>
  <si>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</si>
  <si>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</si>
  <si>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</si>
  <si>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</si>
  <si>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</si>
  <si>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</si>
  <si>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</si>
  <si>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</si>
  <si>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</si>
  <si>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</si>
  <si>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</si>
  <si>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</si>
  <si>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</si>
  <si>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</si>
  <si>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</si>
  <si>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</si>
  <si>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</si>
  <si>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</si>
  <si>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</si>
  <si>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</si>
  <si>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</si>
  <si>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</si>
  <si>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</si>
  <si>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</si>
  <si>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</si>
  <si>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</si>
  <si>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</si>
  <si>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</si>
  <si>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</si>
  <si>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</si>
  <si>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</si>
  <si>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</si>
  <si>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</si>
  <si>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</si>
  <si>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</si>
  <si>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</si>
  <si>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</si>
  <si>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</si>
  <si>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</si>
  <si>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</si>
  <si>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</si>
  <si>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</si>
  <si>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</si>
  <si>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</si>
  <si>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</si>
  <si>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</si>
  <si>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</si>
  <si>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</si>
  <si>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</si>
  <si>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</si>
  <si>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</si>
  <si>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</si>
  <si>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</si>
  <si>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</si>
  <si>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</si>
  <si>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</si>
  <si>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</si>
  <si>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</si>
  <si>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</si>
  <si>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</si>
  <si>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</si>
  <si>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</si>
  <si>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</si>
  <si>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</si>
  <si>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</si>
  <si>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</si>
  <si>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</si>
  <si>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</si>
  <si>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</si>
  <si>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</si>
  <si>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</si>
  <si>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</si>
  <si>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</si>
  <si>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</si>
  <si>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</si>
  <si>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</si>
  <si>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</si>
  <si>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</si>
  <si>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</si>
  <si>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</si>
  <si>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</si>
  <si>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</si>
  <si>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</si>
  <si>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</si>
  <si>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</si>
  <si>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</si>
  <si>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</si>
  <si>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</si>
  <si>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</si>
  <si>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</si>
  <si>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</si>
  <si>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</si>
  <si>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</si>
  <si>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</si>
  <si>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</si>
  <si>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</si>
  <si>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</si>
  <si>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</si>
  <si>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</si>
  <si>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</si>
  <si>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</si>
  <si>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</si>
  <si>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</si>
  <si>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</si>
  <si>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</si>
  <si>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</si>
  <si>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</si>
  <si>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</si>
  <si>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</si>
  <si>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</si>
  <si>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</si>
  <si>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</si>
  <si>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</si>
  <si>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</si>
  <si>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</si>
  <si>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</si>
  <si>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</si>
  <si>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</si>
  <si>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</si>
  <si>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</si>
  <si>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</si>
  <si>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</si>
  <si>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</si>
  <si>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</si>
  <si>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</si>
  <si>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</si>
  <si>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</si>
  <si>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</si>
  <si>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</si>
  <si>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</si>
  <si>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</si>
  <si>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</si>
  <si>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</si>
  <si>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</si>
  <si>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</si>
  <si>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</si>
  <si>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</si>
  <si>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</si>
  <si>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</si>
  <si>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</si>
  <si>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</si>
  <si>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</si>
  <si>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</si>
  <si>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</si>
  <si>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</si>
  <si>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</si>
  <si>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</si>
  <si>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</si>
  <si>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</si>
  <si>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</si>
  <si>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</si>
  <si>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</si>
  <si>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</si>
  <si>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</si>
  <si>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</si>
  <si>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</si>
  <si>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</si>
  <si>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</si>
  <si>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</si>
  <si>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</si>
  <si>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</si>
  <si>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</si>
  <si>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</si>
  <si>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</si>
  <si>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</si>
  <si>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</si>
  <si>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</si>
  <si>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</si>
  <si>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</si>
  <si>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</si>
  <si>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</si>
  <si>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</si>
  <si>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</si>
  <si>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</si>
  <si>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</si>
  <si>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</si>
  <si>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</si>
  <si>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</si>
  <si>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</si>
  <si>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</si>
  <si>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</si>
  <si>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</si>
  <si>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</si>
  <si>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</si>
  <si>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</si>
  <si>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</si>
  <si>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</si>
  <si>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</si>
  <si>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</si>
  <si>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</si>
  <si>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</si>
  <si>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</si>
  <si>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</si>
  <si>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</si>
  <si>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</si>
  <si>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</si>
  <si>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</si>
  <si>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</si>
  <si>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</si>
  <si>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</si>
  <si>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</si>
  <si>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</si>
  <si>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</si>
  <si>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</si>
  <si>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</si>
  <si>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</si>
  <si>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</si>
  <si>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</si>
  <si>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</si>
  <si>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</si>
  <si>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</si>
  <si>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</si>
  <si>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</si>
  <si>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</si>
  <si>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</si>
  <si>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</si>
  <si>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</si>
  <si>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</si>
  <si>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</si>
  <si>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</si>
  <si>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</si>
  <si>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</si>
  <si>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</si>
  <si>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</si>
  <si>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</si>
  <si>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</si>
  <si>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</si>
  <si>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</si>
  <si>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</si>
  <si>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</si>
  <si>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</si>
  <si>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</si>
  <si>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</si>
  <si>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</si>
  <si>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</si>
  <si>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</si>
  <si>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</si>
  <si>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</si>
  <si>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</si>
  <si>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</si>
  <si>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</si>
  <si>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</si>
  <si>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</si>
  <si>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</si>
  <si>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</si>
  <si>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</si>
  <si>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</si>
  <si>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</si>
  <si>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</si>
  <si>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</si>
  <si>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</si>
  <si>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</si>
  <si>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</si>
  <si>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</si>
  <si>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</si>
  <si>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</si>
  <si>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</si>
  <si>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</si>
  <si>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</si>
  <si>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</si>
  <si>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</si>
  <si>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</si>
  <si>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</si>
  <si>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</si>
  <si>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</si>
  <si>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</si>
  <si>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</si>
  <si>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</si>
  <si>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</si>
  <si>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</si>
  <si>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</si>
  <si>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</si>
  <si>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</si>
  <si>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</si>
  <si>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</si>
  <si>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</si>
  <si>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</si>
  <si>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</si>
  <si>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</si>
  <si>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</si>
  <si>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</si>
  <si>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</si>
  <si>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</si>
  <si>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</si>
  <si>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</si>
  <si>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</si>
  <si>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</si>
  <si>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</si>
  <si>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</si>
  <si>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</si>
  <si>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</si>
  <si>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</si>
  <si>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</si>
  <si>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</si>
  <si>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</si>
  <si>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</si>
  <si>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</si>
  <si>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</si>
  <si>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</si>
  <si>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</si>
  <si>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</si>
  <si>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</si>
  <si>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</si>
  <si>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</si>
  <si>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</si>
  <si>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</si>
  <si>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</si>
  <si>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</si>
  <si>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</si>
  <si>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</si>
  <si>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</si>
  <si>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</si>
  <si>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</si>
  <si>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</si>
  <si>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</si>
  <si>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</si>
  <si>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</si>
  <si>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</si>
  <si>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</si>
  <si>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</si>
  <si>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</si>
  <si>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</si>
  <si>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</si>
  <si>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</si>
  <si>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</si>
  <si>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</si>
  <si>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</si>
  <si>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</si>
  <si>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</si>
  <si>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</si>
  <si>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</si>
  <si>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</si>
  <si>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</si>
  <si>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</si>
  <si>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</si>
  <si>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</si>
  <si>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</si>
  <si>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</si>
  <si>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</si>
  <si>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</si>
  <si>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</si>
  <si>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</si>
  <si>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</si>
  <si>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</si>
  <si>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</si>
  <si>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</si>
  <si>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</si>
  <si>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</si>
  <si>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</si>
  <si>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</si>
  <si>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</si>
  <si>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</si>
  <si>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</si>
  <si>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</si>
  <si>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</si>
  <si>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</si>
  <si>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</si>
  <si>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</si>
  <si>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</si>
  <si>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</si>
  <si>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</si>
  <si>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</si>
  <si>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</si>
  <si>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</si>
  <si>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</si>
  <si>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</si>
  <si>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</si>
  <si>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</si>
  <si>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</si>
  <si>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</si>
  <si>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</si>
  <si>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</si>
  <si>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</si>
  <si>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</si>
  <si>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</si>
  <si>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</si>
  <si>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</si>
  <si>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</si>
  <si>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</si>
  <si>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</si>
  <si>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</si>
  <si>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</si>
  <si>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</si>
  <si>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</si>
  <si>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</si>
  <si>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</si>
  <si>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</si>
  <si>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</si>
  <si>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</si>
  <si>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</si>
  <si>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</si>
  <si>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</si>
  <si>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</si>
  <si>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</si>
  <si>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</si>
  <si>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</si>
  <si>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</si>
  <si>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</si>
  <si>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</si>
  <si>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</si>
  <si>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</si>
  <si>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</si>
  <si>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</si>
  <si>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</si>
  <si>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</si>
  <si>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</si>
  <si>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</si>
  <si>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</si>
  <si>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</si>
  <si>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</si>
  <si>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</si>
  <si>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</si>
  <si>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</si>
  <si>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</si>
  <si>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</si>
  <si>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</si>
  <si>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</si>
  <si>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</si>
  <si>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</si>
  <si>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</si>
  <si>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</si>
  <si>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</si>
  <si>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</si>
  <si>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</si>
  <si>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</si>
  <si>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</si>
  <si>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</si>
  <si>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</si>
  <si>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</si>
  <si>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</si>
  <si>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</si>
  <si>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</si>
  <si>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</si>
  <si>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</si>
  <si>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</si>
  <si>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</si>
  <si>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</si>
  <si>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</si>
  <si>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</si>
  <si>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</si>
  <si>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</si>
  <si>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</si>
  <si>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</si>
  <si>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</si>
  <si>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</si>
  <si>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</si>
  <si>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</si>
  <si>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</si>
  <si>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</si>
  <si>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</si>
  <si>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</si>
  <si>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</si>
  <si>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</si>
  <si>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</si>
  <si>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</si>
  <si>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</si>
  <si>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</si>
  <si>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</si>
  <si>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</si>
  <si>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</si>
  <si>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</si>
  <si>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</si>
  <si>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</si>
  <si>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</si>
  <si>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</si>
  <si>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</si>
  <si>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</si>
  <si>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</si>
  <si>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</si>
  <si>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</si>
  <si>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</si>
  <si>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</si>
  <si>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</si>
  <si>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</si>
  <si>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</si>
  <si>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</si>
  <si>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</si>
  <si>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</si>
  <si>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</si>
  <si>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</si>
  <si>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</si>
  <si>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</si>
  <si>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</si>
  <si>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</si>
  <si>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</si>
  <si>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</si>
  <si>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</si>
  <si>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</si>
  <si>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</si>
  <si>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</si>
  <si>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</si>
  <si>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</si>
  <si>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</si>
  <si>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</si>
  <si>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</si>
  <si>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</si>
  <si>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</si>
  <si>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</si>
  <si>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</si>
  <si>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</si>
  <si>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</si>
  <si>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</si>
  <si>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</si>
  <si>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</si>
  <si>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</si>
  <si>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</si>
  <si>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</si>
  <si>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</si>
  <si>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</si>
  <si>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</si>
  <si>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</si>
  <si>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</si>
  <si>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</si>
  <si>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</si>
  <si>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</si>
  <si>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</si>
  <si>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</si>
  <si>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</si>
  <si>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</si>
  <si>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</si>
  <si>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</si>
  <si>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</si>
  <si>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</si>
  <si>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</si>
  <si>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</si>
  <si>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</si>
  <si>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</si>
  <si>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</si>
  <si>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</si>
  <si>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</si>
  <si>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</si>
  <si>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</si>
  <si>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</si>
  <si>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</si>
  <si>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</si>
  <si>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</si>
  <si>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</si>
  <si>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</si>
  <si>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</si>
  <si>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</si>
  <si>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</si>
  <si>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</si>
  <si>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</si>
  <si>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</si>
  <si>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</si>
  <si>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</si>
  <si>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</si>
  <si>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</si>
  <si>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</si>
  <si>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</si>
  <si>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</si>
  <si>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</si>
  <si>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</si>
  <si>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</si>
  <si>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</si>
  <si>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</si>
  <si>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</si>
  <si>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</si>
  <si>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</si>
  <si>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</si>
  <si>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</si>
  <si>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</si>
  <si>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</si>
  <si>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</si>
  <si>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</si>
  <si>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</si>
  <si>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</si>
  <si>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</si>
  <si>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</si>
  <si>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</si>
  <si>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</si>
  <si>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</si>
  <si>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</si>
  <si>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</si>
  <si>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</si>
  <si>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</si>
  <si>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</si>
  <si>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</si>
  <si>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</si>
  <si>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</si>
  <si>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</si>
  <si>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</si>
  <si>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</si>
  <si>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</si>
  <si>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</si>
  <si>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</si>
  <si>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</si>
  <si>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</si>
  <si>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</si>
  <si>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</si>
  <si>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</si>
  <si>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</si>
  <si>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</si>
  <si>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</si>
  <si>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</si>
  <si>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</si>
  <si>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</si>
  <si>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</si>
  <si>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</si>
  <si>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</si>
  <si>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</si>
  <si>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</si>
  <si>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</si>
  <si>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</si>
  <si>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</si>
  <si>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</si>
  <si>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</si>
  <si>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</si>
  <si>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</si>
  <si>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</si>
  <si>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</si>
  <si>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</si>
  <si>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</si>
  <si>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</si>
  <si>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</si>
  <si>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</si>
  <si>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</si>
  <si>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</si>
  <si>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</si>
  <si>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</si>
  <si>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</si>
  <si>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</si>
  <si>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</si>
  <si>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</si>
  <si>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</si>
  <si>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</si>
  <si>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</si>
  <si>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</si>
  <si>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</si>
  <si>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</si>
  <si>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</si>
  <si>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</si>
  <si>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</si>
  <si>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</si>
  <si>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</si>
  <si>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</si>
  <si>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</si>
  <si>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</si>
  <si>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</si>
  <si>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</si>
  <si>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</si>
  <si>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</si>
  <si>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</si>
  <si>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</si>
  <si>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</si>
  <si>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</si>
  <si>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</si>
  <si>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</si>
  <si>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</si>
  <si>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</si>
  <si>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</si>
  <si>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</si>
  <si>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</si>
  <si>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</si>
  <si>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</si>
  <si>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</si>
  <si>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</si>
  <si>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</si>
  <si>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</si>
  <si>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</si>
  <si>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</si>
  <si>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</si>
  <si>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</si>
  <si>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</si>
  <si>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</si>
  <si>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</si>
  <si>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</si>
  <si>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</si>
  <si>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</si>
  <si>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</si>
  <si>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</si>
  <si>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</si>
  <si>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</si>
  <si>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</si>
  <si>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</si>
  <si>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</si>
  <si>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</si>
  <si>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</si>
  <si>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</si>
  <si>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</si>
  <si>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</si>
  <si>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</si>
  <si>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</si>
  <si>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</si>
  <si>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</si>
  <si>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</si>
  <si>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</si>
  <si>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</si>
  <si>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</si>
  <si>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</si>
  <si>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</si>
  <si>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</si>
  <si>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</si>
  <si>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</si>
  <si>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</si>
  <si>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</si>
  <si>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</si>
  <si>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</si>
  <si>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</si>
  <si>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</si>
  <si>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</si>
  <si>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</si>
  <si>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</si>
  <si>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</si>
  <si>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</si>
  <si>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</si>
  <si>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</si>
  <si>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</si>
  <si>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</si>
  <si>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</si>
  <si>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</si>
  <si>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</si>
  <si>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</si>
  <si>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</si>
  <si>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</si>
  <si>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</si>
  <si>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</si>
  <si>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</si>
  <si>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</si>
  <si>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</si>
  <si>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</si>
  <si>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</si>
  <si>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</si>
  <si>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</si>
  <si>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</si>
  <si>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</si>
  <si>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</si>
  <si>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</si>
  <si>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</si>
  <si>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</si>
  <si>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</si>
  <si>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</si>
  <si>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</si>
  <si>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</si>
  <si>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</si>
  <si>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</si>
  <si>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</si>
  <si>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</si>
  <si>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</si>
  <si>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</si>
  <si>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</si>
  <si>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</si>
  <si>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</si>
  <si>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</si>
  <si>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</si>
  <si>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</si>
  <si>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</si>
  <si>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</si>
  <si>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</si>
  <si>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</si>
  <si>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</si>
  <si>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</si>
  <si>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</si>
  <si>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</si>
  <si>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</si>
  <si>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</si>
  <si>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</si>
  <si>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</si>
  <si>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</si>
  <si>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</si>
  <si>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</si>
  <si>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</si>
  <si>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</si>
  <si>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</si>
  <si>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</si>
  <si>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</si>
  <si>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</si>
  <si>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</si>
  <si>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</si>
  <si>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</si>
  <si>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</si>
  <si>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</si>
  <si>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</si>
  <si>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</si>
  <si>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</si>
  <si>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</si>
  <si>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</si>
  <si>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</si>
  <si>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</si>
  <si>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</si>
  <si>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</si>
  <si>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</si>
  <si>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</si>
  <si>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</si>
  <si>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</si>
  <si>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</si>
  <si>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</si>
  <si>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</si>
  <si>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</si>
  <si>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</si>
  <si>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</si>
  <si>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</si>
  <si>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</si>
  <si>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</si>
  <si>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</si>
  <si>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</si>
  <si>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</si>
  <si>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</si>
  <si>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</si>
  <si>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</si>
  <si>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</si>
  <si>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</si>
  <si>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</si>
  <si>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</si>
  <si>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</si>
  <si>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</si>
  <si>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</si>
  <si>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</si>
  <si>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</si>
  <si>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</si>
  <si>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</si>
  <si>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</si>
  <si>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</si>
  <si>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</si>
  <si>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</si>
  <si>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</si>
  <si>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</si>
  <si>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</si>
  <si>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</si>
  <si>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</si>
  <si>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</si>
  <si>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</si>
  <si>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</si>
  <si>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</si>
  <si>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</si>
  <si>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</si>
  <si>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</si>
  <si>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</si>
  <si>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</si>
  <si>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</si>
  <si>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</si>
  <si>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</si>
  <si>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</si>
  <si>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</si>
  <si>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</si>
  <si>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</si>
  <si>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</si>
  <si>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</si>
  <si>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</si>
  <si>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</si>
  <si>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</si>
  <si>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</si>
  <si>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</si>
  <si>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</si>
  <si>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</si>
  <si>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</si>
  <si>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</si>
  <si>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</si>
  <si>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</si>
  <si>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</si>
  <si>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</si>
  <si>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</si>
  <si>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</si>
  <si>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</si>
  <si>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</si>
  <si>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</si>
  <si>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</si>
  <si>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</si>
  <si>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</si>
  <si>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</si>
  <si>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</si>
  <si>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</si>
  <si>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</si>
  <si>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</si>
  <si>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</si>
  <si>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</si>
  <si>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</si>
  <si>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</si>
  <si>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</si>
  <si>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</si>
  <si>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</si>
  <si>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</si>
  <si>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</si>
  <si>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</si>
  <si>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</si>
  <si>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</si>
  <si>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</si>
  <si>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</si>
  <si>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</si>
  <si>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</si>
  <si>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</si>
  <si>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</si>
  <si>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</si>
  <si>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</si>
  <si>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</si>
  <si>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</si>
  <si>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</si>
  <si>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</si>
  <si>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</si>
  <si>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</si>
  <si>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</si>
  <si>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</si>
  <si>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</si>
  <si>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</si>
  <si>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</si>
  <si>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</si>
  <si>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</si>
  <si>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</si>
  <si>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</si>
  <si>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</si>
  <si>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</si>
  <si>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</si>
  <si>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</si>
  <si>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</si>
  <si>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</si>
  <si>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</si>
  <si>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</si>
  <si>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</si>
  <si>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</si>
  <si>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</si>
  <si>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</si>
  <si>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</si>
  <si>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</si>
  <si>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</si>
  <si>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</si>
  <si>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</si>
  <si>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</si>
  <si>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</si>
  <si>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</si>
  <si>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</si>
  <si>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</si>
  <si>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</si>
  <si>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</si>
  <si>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</si>
  <si>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</si>
  <si>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</si>
  <si>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</si>
  <si>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</si>
  <si>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</si>
  <si>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</si>
  <si>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</si>
  <si>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</si>
  <si>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</si>
  <si>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</si>
  <si>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</si>
  <si>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</si>
  <si>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</si>
  <si>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</si>
  <si>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</si>
  <si>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</si>
  <si>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</si>
  <si>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</si>
  <si>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</si>
  <si>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</si>
  <si>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</si>
  <si>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</si>
  <si>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</si>
  <si>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</si>
  <si>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</si>
  <si>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</si>
  <si>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</si>
  <si>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</si>
  <si>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</si>
  <si>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</si>
  <si>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</si>
  <si>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</si>
  <si>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</si>
  <si>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</si>
  <si>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</si>
  <si>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</si>
  <si>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</si>
  <si>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</si>
  <si>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</si>
  <si>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</si>
  <si>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</si>
  <si>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</si>
  <si>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</si>
  <si>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</si>
  <si>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</si>
  <si>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</si>
  <si>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</si>
  <si>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</si>
  <si>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</si>
  <si>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</si>
  <si>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</si>
  <si>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</si>
  <si>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</si>
  <si>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</si>
  <si>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</si>
  <si>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</si>
  <si>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</si>
  <si>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</si>
  <si>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</si>
  <si>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</si>
  <si>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</si>
  <si>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</si>
  <si>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</si>
  <si>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</si>
  <si>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</si>
  <si>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</si>
  <si>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</si>
  <si>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</si>
  <si>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</si>
  <si>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</si>
  <si>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</si>
  <si>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</si>
  <si>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</si>
  <si>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</si>
  <si>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</si>
  <si>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</si>
  <si>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</si>
  <si>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</si>
  <si>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</si>
  <si>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</si>
  <si>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</si>
  <si>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</si>
  <si>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</si>
  <si>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</si>
  <si>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</si>
  <si>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</si>
  <si>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</si>
  <si>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</si>
  <si>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</si>
  <si>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</si>
  <si>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</si>
  <si>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</si>
  <si>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</si>
  <si>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</si>
  <si>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</si>
  <si>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</si>
  <si>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</si>
  <si>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</si>
  <si>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</si>
  <si>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</si>
  <si>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</si>
  <si>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</si>
  <si>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</si>
  <si>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</si>
  <si>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</si>
  <si>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</si>
  <si>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</si>
  <si>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</si>
  <si>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</si>
  <si>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</si>
  <si>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</si>
  <si>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</si>
  <si>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</si>
  <si>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</si>
  <si>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</si>
  <si>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</si>
  <si>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</si>
  <si>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</si>
  <si>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</si>
  <si>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</si>
  <si>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</si>
  <si>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</si>
  <si>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</si>
  <si>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</si>
  <si>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</si>
  <si>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</si>
  <si>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</si>
  <si>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</si>
  <si>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</si>
  <si>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</si>
  <si>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</si>
  <si>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</si>
  <si>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</si>
  <si>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</si>
  <si>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</si>
  <si>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</si>
  <si>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</si>
  <si>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</si>
  <si>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</si>
  <si>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</si>
  <si>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</si>
  <si>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</si>
  <si>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</si>
  <si>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</si>
  <si>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</si>
  <si>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</si>
  <si>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</si>
  <si>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</si>
  <si>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</si>
  <si>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</si>
  <si>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</si>
  <si>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</si>
  <si>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</si>
  <si>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</si>
  <si>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</si>
  <si>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</si>
  <si>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</si>
  <si>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</si>
  <si>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</si>
  <si>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</si>
  <si>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</si>
  <si>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</si>
  <si>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</si>
  <si>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</si>
  <si>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</si>
  <si>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</si>
  <si>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</si>
  <si>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</si>
  <si>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</si>
  <si>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</si>
  <si>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</si>
  <si>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</si>
  <si>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</si>
  <si>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</si>
  <si>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</si>
  <si>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</si>
  <si>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</si>
  <si>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</si>
  <si>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</si>
  <si>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</si>
  <si>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</si>
  <si>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</si>
  <si>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</si>
  <si>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</si>
  <si>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</si>
  <si>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</si>
  <si>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</si>
  <si>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</si>
  <si>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</si>
  <si>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</si>
  <si>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</si>
  <si>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</si>
  <si>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</si>
  <si>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</si>
  <si>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</si>
  <si>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</si>
  <si>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</si>
  <si>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</si>
  <si>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</si>
  <si>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</si>
  <si>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</si>
  <si>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</si>
  <si>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</si>
  <si>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</si>
  <si>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</si>
  <si>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</si>
  <si>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</si>
  <si>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</si>
  <si>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</si>
  <si>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</si>
  <si>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</si>
  <si>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</si>
  <si>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</si>
  <si>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</si>
  <si>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</si>
  <si>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</si>
  <si>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</si>
  <si>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</si>
  <si>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</si>
  <si>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</si>
  <si>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</si>
  <si>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</si>
  <si>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</si>
  <si>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</si>
  <si>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</si>
  <si>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</si>
  <si>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</si>
  <si>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</si>
  <si>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</si>
  <si>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</si>
  <si>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</si>
  <si>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</si>
  <si>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</si>
  <si>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</si>
  <si>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</si>
  <si>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</si>
  <si>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</si>
  <si>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</si>
  <si>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</si>
  <si>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</si>
  <si>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</si>
  <si>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</si>
  <si>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</si>
  <si>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</si>
  <si>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</si>
  <si>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</si>
  <si>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</si>
  <si>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</si>
  <si>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</si>
  <si>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</si>
  <si>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</si>
  <si>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</si>
  <si>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</si>
  <si>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</si>
  <si>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</si>
  <si>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</si>
  <si>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</si>
  <si>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</si>
  <si>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</si>
  <si>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</si>
  <si>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</si>
  <si>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</si>
  <si>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</si>
  <si>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</si>
  <si>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</si>
  <si>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</si>
  <si>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</si>
  <si>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</si>
  <si>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</si>
  <si>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</si>
  <si>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</si>
  <si>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</si>
  <si>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</si>
  <si>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</si>
  <si>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</si>
  <si>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</si>
  <si>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</si>
  <si>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</si>
  <si>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</si>
  <si>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</si>
  <si>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</si>
  <si>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</si>
  <si>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</si>
  <si>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</si>
  <si>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</si>
  <si>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</si>
  <si>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</si>
  <si>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</si>
  <si>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</si>
  <si>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</si>
  <si>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</si>
  <si>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</si>
  <si>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</si>
  <si>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</si>
  <si>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</si>
  <si>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</si>
  <si>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</si>
  <si>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</si>
  <si>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</si>
  <si>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</si>
  <si>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</si>
  <si>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</si>
  <si>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</si>
  <si>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</si>
  <si>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</si>
  <si>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</si>
  <si>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</si>
  <si>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</si>
  <si>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</si>
  <si>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</si>
  <si>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</si>
  <si>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</si>
  <si>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</si>
  <si>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</si>
  <si>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</si>
  <si>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</si>
  <si>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</si>
  <si>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</si>
  <si>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</si>
  <si>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</si>
  <si>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</si>
  <si>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</si>
  <si>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</si>
  <si>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</si>
  <si>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</si>
  <si>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</si>
  <si>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</si>
  <si>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</si>
  <si>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</si>
  <si>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</si>
  <si>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</si>
  <si>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</si>
  <si>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</si>
  <si>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</si>
  <si>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</si>
  <si>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</si>
  <si>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</si>
  <si>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</si>
  <si>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</si>
  <si>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</si>
  <si>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</si>
  <si>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</si>
  <si>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</si>
  <si>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</si>
  <si>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</si>
  <si>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</si>
  <si>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</si>
  <si>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</si>
  <si>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</si>
  <si>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</si>
  <si>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</si>
  <si>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</si>
  <si>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</si>
  <si>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</si>
  <si>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</si>
  <si>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</si>
  <si>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</si>
  <si>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</si>
  <si>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</si>
  <si>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</si>
  <si>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</si>
  <si>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</si>
  <si>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</si>
  <si>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</si>
  <si>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</si>
  <si>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</si>
  <si>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</si>
  <si>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</si>
  <si>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</si>
  <si>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</si>
  <si>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</si>
  <si>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</si>
  <si>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</si>
  <si>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</si>
  <si>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</si>
  <si>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</si>
  <si>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</si>
  <si>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</si>
  <si>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</si>
  <si>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</si>
  <si>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</si>
  <si>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</si>
  <si>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</si>
  <si>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</si>
  <si>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</si>
  <si>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</si>
  <si>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</si>
  <si>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</si>
  <si>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</si>
  <si>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</si>
  <si>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</si>
  <si>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</si>
  <si>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</si>
  <si>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</si>
  <si>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</si>
  <si>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</si>
  <si>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</si>
  <si>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</si>
  <si>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</si>
  <si>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</si>
  <si>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</si>
  <si>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</si>
  <si>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</si>
  <si>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</si>
  <si>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</si>
  <si>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</si>
  <si>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</si>
  <si>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</si>
  <si>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</si>
  <si>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</si>
  <si>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</si>
  <si>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</si>
  <si>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</si>
  <si>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</si>
  <si>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</si>
  <si>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</si>
  <si>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</si>
  <si>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</si>
  <si>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</si>
  <si>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</si>
  <si>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</si>
  <si>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</si>
  <si>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</si>
  <si>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</si>
  <si>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</si>
  <si>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</si>
  <si>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</si>
  <si>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</si>
  <si>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</si>
  <si>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</si>
  <si>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</si>
  <si>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</si>
  <si>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</si>
  <si>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</si>
  <si>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</si>
  <si>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</si>
  <si>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</si>
  <si>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</si>
  <si>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</si>
  <si>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</si>
  <si>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</si>
  <si>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</si>
  <si>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</si>
  <si>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</si>
  <si>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</si>
  <si>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</si>
  <si>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</si>
  <si>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</si>
  <si>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</si>
  <si>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</si>
  <si>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</si>
  <si>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</si>
  <si>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</si>
  <si>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</si>
  <si>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</si>
  <si>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</si>
  <si>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</si>
  <si>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</si>
  <si>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</si>
  <si>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</si>
  <si>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</si>
  <si>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</si>
  <si>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</si>
  <si>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</si>
  <si>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</si>
  <si>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</si>
  <si>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</si>
  <si>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</si>
  <si>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</si>
  <si>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</si>
  <si>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</si>
  <si>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</si>
  <si>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</si>
  <si>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</si>
  <si>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</si>
  <si>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</si>
  <si>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</si>
  <si>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</si>
  <si>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</si>
  <si>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</si>
  <si>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</si>
  <si>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</si>
  <si>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</si>
  <si>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</si>
  <si>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</si>
  <si>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</si>
  <si>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</si>
  <si>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</si>
  <si>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</si>
  <si>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</si>
  <si>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</si>
  <si>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</si>
  <si>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</si>
  <si>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</si>
  <si>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</si>
  <si>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</si>
  <si>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</si>
  <si>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</si>
  <si>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</si>
  <si>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</si>
  <si>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</si>
  <si>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</si>
  <si>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</si>
  <si>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</si>
  <si>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</si>
  <si>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</si>
  <si>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</si>
  <si>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</si>
  <si>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</si>
  <si>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</si>
  <si>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</si>
  <si>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</si>
  <si>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</si>
  <si>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</si>
  <si>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</si>
  <si>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</si>
  <si>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</si>
  <si>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</si>
  <si>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</si>
  <si>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</si>
  <si>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</si>
  <si>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</si>
  <si>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</si>
  <si>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</si>
  <si>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</si>
  <si>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</si>
  <si>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</si>
  <si>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</si>
  <si>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</si>
  <si>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</si>
  <si>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</si>
  <si>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</si>
  <si>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</si>
  <si>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</si>
  <si>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</si>
  <si>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</si>
  <si>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</si>
  <si>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</si>
  <si>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</si>
  <si>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</si>
  <si>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</si>
  <si>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</si>
  <si>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</si>
  <si>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</si>
  <si>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</si>
  <si>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</si>
  <si>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</si>
  <si>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</si>
  <si>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</si>
  <si>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</si>
  <si>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</si>
  <si>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</si>
  <si>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</si>
  <si>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</si>
  <si>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</si>
  <si>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</si>
  <si>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</si>
  <si>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</si>
  <si>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</si>
  <si>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</si>
  <si>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</si>
  <si>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</si>
  <si>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</si>
  <si>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</si>
  <si>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</si>
  <si>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</si>
  <si>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</si>
  <si>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</si>
  <si>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</si>
  <si>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</si>
  <si>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</si>
  <si>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</si>
  <si>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</si>
  <si>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</si>
  <si>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</si>
  <si>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</si>
  <si>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</si>
  <si>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</si>
  <si>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</si>
  <si>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</si>
  <si>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</si>
  <si>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</si>
  <si>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</si>
  <si>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</si>
  <si>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</si>
  <si>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</si>
  <si>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</si>
  <si>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</si>
  <si>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</si>
  <si>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</si>
  <si>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</si>
  <si>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</si>
  <si>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</si>
  <si>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</si>
  <si>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</si>
  <si>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</si>
  <si>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</si>
  <si>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</si>
  <si>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</si>
  <si>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</si>
  <si>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</si>
  <si>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</si>
  <si>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</si>
  <si>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</si>
  <si>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</si>
  <si>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</si>
  <si>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</si>
  <si>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</si>
  <si>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</si>
  <si>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</si>
  <si>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</si>
  <si>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</si>
  <si>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</si>
  <si>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</si>
  <si>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</si>
  <si>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</si>
  <si>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</si>
  <si>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</si>
  <si>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</si>
  <si>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</si>
  <si>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</si>
  <si>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</si>
  <si>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</si>
  <si>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</si>
  <si>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</si>
  <si>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</si>
  <si>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</si>
  <si>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</si>
  <si>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</si>
  <si>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</si>
  <si>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</si>
  <si>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</si>
  <si>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</si>
  <si>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</si>
  <si>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</si>
  <si>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</si>
  <si>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</si>
  <si>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</si>
  <si>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</si>
  <si>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</si>
  <si>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</si>
  <si>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</si>
  <si>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</si>
  <si>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</si>
  <si>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</si>
  <si>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</si>
  <si>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</si>
  <si>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</si>
  <si>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</si>
  <si>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</si>
  <si>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</si>
  <si>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</si>
  <si>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</si>
  <si>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</si>
  <si>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</si>
  <si>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</si>
  <si>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</si>
  <si>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</si>
  <si>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</si>
  <si>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</si>
  <si>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</si>
  <si>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</si>
  <si>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</si>
  <si>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</si>
  <si>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</si>
  <si>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</si>
  <si>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</si>
  <si>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</si>
  <si>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</si>
  <si>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</si>
  <si>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</si>
  <si>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</si>
  <si>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</si>
  <si>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</si>
  <si>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</si>
  <si>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</si>
  <si>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</si>
  <si>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</si>
  <si>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</si>
  <si>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</si>
  <si>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</si>
  <si>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</si>
  <si>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</si>
  <si>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</si>
  <si>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</si>
  <si>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</si>
  <si>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</si>
  <si>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</si>
  <si>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</si>
  <si>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</si>
  <si>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</si>
  <si>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</si>
  <si>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</si>
  <si>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</si>
  <si>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</si>
  <si>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</si>
  <si>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</si>
  <si>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</si>
  <si>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</si>
  <si>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</si>
  <si>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</si>
  <si>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</si>
  <si>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</si>
  <si>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</si>
  <si>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</si>
  <si>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</si>
  <si>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</si>
  <si>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</si>
  <si>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</si>
  <si>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</si>
  <si>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</si>
  <si>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</si>
  <si>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</si>
  <si>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</si>
  <si>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</si>
  <si>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</si>
  <si>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</si>
  <si>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</si>
  <si>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</si>
  <si>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</si>
  <si>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</si>
  <si>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</si>
  <si>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</si>
  <si>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</si>
  <si>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</si>
  <si>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</si>
  <si>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</si>
  <si>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</si>
  <si>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</si>
  <si>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</si>
  <si>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</si>
  <si>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</si>
  <si>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</si>
  <si>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</si>
  <si>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</si>
  <si>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</si>
  <si>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</si>
  <si>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</si>
  <si>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</si>
  <si>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</si>
  <si>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</si>
  <si>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</si>
  <si>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</si>
  <si>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</si>
  <si>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</si>
  <si>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</si>
  <si>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</si>
  <si>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</si>
  <si>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</si>
  <si>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</si>
  <si>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</si>
  <si>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</si>
  <si>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</si>
  <si>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</si>
  <si>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</si>
  <si>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</si>
  <si>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</si>
  <si>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</si>
  <si>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</si>
  <si>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</si>
  <si>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</si>
  <si>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</si>
  <si>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</si>
  <si>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</si>
  <si>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</si>
  <si>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</si>
  <si>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</si>
  <si>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</si>
  <si>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</si>
  <si>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</si>
  <si>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</si>
  <si>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</si>
  <si>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</si>
  <si>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</si>
  <si>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</si>
  <si>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</si>
  <si>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</si>
  <si>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</si>
  <si>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</si>
  <si>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</si>
  <si>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</si>
  <si>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</si>
  <si>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</si>
  <si>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</si>
  <si>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</si>
  <si>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</si>
  <si>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</si>
  <si>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</si>
  <si>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</si>
  <si>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</si>
  <si>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</si>
  <si>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</si>
  <si>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</si>
  <si>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</si>
  <si>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</si>
  <si>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</si>
  <si>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</si>
  <si>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</si>
  <si>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</si>
  <si>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</si>
  <si>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</si>
  <si>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</si>
  <si>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</si>
  <si>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</si>
  <si>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</si>
  <si>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</si>
  <si>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</si>
  <si>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</si>
  <si>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</si>
  <si>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</si>
  <si>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</si>
  <si>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</si>
  <si>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</si>
  <si>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</si>
  <si>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</si>
  <si>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</si>
  <si>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</si>
  <si>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</si>
  <si>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</si>
  <si>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</si>
  <si>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</si>
  <si>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</si>
  <si>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</si>
  <si>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</si>
  <si>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</si>
  <si>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</si>
  <si>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</si>
  <si>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</si>
  <si>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</si>
  <si>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</si>
  <si>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</si>
  <si>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</si>
  <si>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</si>
  <si>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</si>
  <si>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</si>
  <si>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</si>
  <si>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</si>
  <si>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</si>
  <si>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</si>
  <si>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</si>
  <si>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</si>
  <si>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</si>
  <si>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</si>
  <si>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</si>
  <si>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</si>
  <si>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</si>
  <si>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</si>
  <si>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</si>
  <si>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</si>
  <si>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</si>
  <si>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</si>
  <si>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</si>
  <si>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</si>
  <si>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</si>
  <si>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</si>
  <si>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</si>
  <si>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</si>
  <si>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</si>
  <si>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</si>
  <si>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</si>
  <si>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</si>
  <si>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</si>
  <si>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</si>
  <si>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</si>
  <si>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</si>
  <si>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</si>
  <si>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</si>
  <si>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</si>
  <si>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</si>
  <si>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</si>
  <si>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</si>
  <si>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</si>
  <si>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</si>
  <si>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</si>
  <si>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</si>
  <si>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</si>
  <si>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</si>
  <si>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</si>
  <si>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</si>
  <si>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</si>
  <si>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</si>
  <si>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</si>
  <si>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</si>
  <si>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</si>
  <si>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</si>
  <si>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</si>
  <si>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</si>
  <si>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</si>
  <si>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</si>
  <si>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</si>
  <si>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</si>
  <si>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</si>
  <si>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</si>
  <si>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</si>
  <si>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</si>
  <si>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</si>
  <si>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</si>
  <si>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</si>
  <si>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</si>
  <si>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</si>
  <si>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</si>
  <si>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</si>
  <si>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</si>
  <si>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</si>
  <si>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</si>
  <si>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</si>
  <si>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</si>
  <si>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</si>
  <si>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</si>
  <si>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</si>
  <si>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</si>
  <si>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</si>
  <si>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</si>
  <si>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</si>
  <si>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</si>
  <si>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</si>
  <si>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</si>
  <si>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</si>
  <si>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</si>
  <si>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</si>
  <si>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</si>
  <si>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</si>
  <si>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</si>
  <si>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</si>
  <si>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</si>
  <si>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</si>
  <si>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</si>
  <si>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</si>
  <si>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</si>
  <si>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</si>
  <si>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</si>
  <si>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</si>
  <si>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</si>
  <si>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</si>
  <si>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</si>
  <si>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</si>
  <si>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</si>
  <si>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</si>
  <si>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</si>
  <si>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</si>
  <si>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</si>
  <si>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</si>
  <si>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</si>
  <si>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</si>
  <si>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</si>
  <si>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</si>
  <si>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</si>
  <si>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</si>
  <si>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</si>
  <si>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</si>
  <si>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</si>
  <si>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</si>
  <si>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</si>
  <si>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</si>
  <si>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</si>
  <si>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</si>
  <si>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</si>
  <si>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</si>
  <si>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</si>
  <si>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</si>
  <si>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</si>
  <si>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</si>
  <si>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</si>
  <si>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</si>
  <si>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</si>
  <si>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</si>
  <si>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</si>
  <si>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</si>
  <si>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</si>
  <si>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</si>
  <si>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</si>
  <si>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</si>
  <si>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</si>
  <si>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</si>
  <si>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</si>
  <si>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</si>
  <si>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</si>
  <si>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</si>
  <si>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</si>
  <si>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</si>
  <si>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</si>
  <si>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</si>
  <si>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</si>
  <si>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</si>
  <si>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</si>
  <si>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</si>
  <si>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</si>
  <si>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</si>
  <si>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</si>
  <si>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</si>
  <si>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</si>
  <si>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</si>
  <si>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</si>
  <si>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</si>
  <si>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</si>
  <si>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</si>
  <si>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</si>
  <si>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</si>
  <si>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</si>
  <si>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</si>
  <si>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</si>
  <si>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</si>
  <si>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</si>
  <si>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</si>
  <si>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</si>
  <si>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</si>
  <si>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</si>
  <si>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</si>
  <si>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</si>
  <si>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</si>
  <si>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</si>
  <si>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</si>
  <si>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</si>
  <si>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</si>
  <si>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</si>
  <si>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</si>
  <si>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</si>
  <si>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</si>
  <si>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</si>
  <si>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</si>
  <si>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</si>
  <si>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</si>
  <si>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</si>
  <si>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</si>
  <si>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</si>
  <si>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</si>
  <si>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</si>
  <si>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</si>
  <si>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</si>
  <si>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</si>
  <si>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</si>
  <si>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</si>
  <si>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</si>
  <si>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</si>
  <si>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</si>
  <si>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</si>
  <si>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</si>
  <si>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</si>
  <si>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</si>
  <si>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</si>
  <si>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</si>
  <si>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</si>
  <si>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</si>
  <si>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</si>
  <si>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</si>
  <si>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</si>
  <si>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</si>
  <si>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</si>
  <si>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</si>
  <si>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</si>
  <si>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</si>
  <si>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</si>
  <si>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</si>
  <si>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</si>
  <si>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</si>
  <si>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</si>
  <si>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</si>
  <si>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</si>
  <si>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</si>
  <si>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</si>
  <si>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</si>
  <si>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</si>
  <si>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</si>
  <si>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</si>
  <si>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</si>
  <si>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</si>
  <si>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</si>
  <si>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</si>
  <si>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</si>
  <si>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</si>
  <si>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</si>
  <si>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</si>
  <si>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</si>
  <si>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</si>
  <si>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</si>
  <si>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</si>
  <si>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</si>
  <si>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</si>
  <si>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</si>
  <si>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</si>
  <si>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</si>
  <si>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</si>
  <si>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</si>
  <si>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</si>
  <si>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</si>
  <si>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</si>
  <si>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</si>
  <si>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</si>
  <si>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</si>
  <si>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</si>
  <si>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</si>
  <si>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</si>
  <si>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</si>
  <si>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</si>
  <si>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</si>
  <si>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</si>
  <si>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</si>
  <si>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</si>
  <si>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</si>
  <si>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</si>
  <si>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</si>
  <si>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</si>
  <si>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</si>
  <si>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</si>
  <si>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</si>
  <si>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</si>
  <si>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</si>
  <si>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</si>
  <si>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</si>
  <si>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</si>
  <si>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</si>
  <si>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</si>
  <si>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</si>
  <si>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</si>
  <si>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</si>
  <si>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</si>
  <si>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</si>
  <si>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</si>
  <si>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</si>
  <si>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</si>
  <si>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</si>
  <si>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</si>
  <si>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</si>
  <si>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</si>
  <si>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</si>
  <si>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</si>
  <si>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</si>
  <si>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</si>
  <si>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</si>
  <si>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</si>
  <si>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</si>
  <si>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</si>
  <si>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</si>
  <si>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</si>
  <si>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</si>
  <si>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</si>
  <si>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</si>
  <si>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</si>
  <si>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</si>
  <si>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</si>
  <si>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</si>
  <si>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</si>
  <si>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</si>
  <si>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</si>
  <si>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</si>
  <si>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</si>
  <si>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</si>
  <si>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</si>
  <si>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</si>
  <si>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</si>
  <si>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</si>
  <si>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</si>
  <si>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</si>
  <si>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</si>
  <si>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</si>
  <si>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</si>
  <si>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</si>
  <si>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</si>
  <si>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</si>
  <si>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</si>
  <si>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</si>
  <si>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</si>
  <si>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</si>
  <si>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</si>
  <si>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</si>
  <si>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</si>
  <si>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</si>
  <si>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</si>
  <si>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</si>
  <si>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</si>
  <si>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</si>
  <si>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</si>
  <si>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</si>
  <si>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</si>
  <si>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</si>
  <si>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</si>
  <si>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</si>
  <si>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</si>
  <si>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</si>
  <si>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</si>
  <si>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</si>
  <si>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</si>
  <si>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</si>
  <si>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</si>
  <si>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</si>
  <si>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</si>
  <si>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</si>
  <si>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</si>
  <si>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</si>
  <si>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</si>
  <si>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</si>
  <si>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</si>
  <si>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</si>
  <si>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</si>
  <si>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</si>
  <si>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</si>
  <si>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</si>
  <si>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</si>
  <si>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</si>
  <si>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</si>
  <si>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</si>
  <si>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</si>
  <si>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</si>
  <si>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</si>
  <si>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</si>
  <si>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</si>
  <si>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</si>
  <si>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</si>
  <si>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</si>
  <si>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</si>
  <si>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</si>
  <si>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</si>
  <si>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</si>
  <si>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</si>
  <si>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</si>
  <si>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</si>
  <si>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</si>
  <si>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</si>
  <si>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</si>
  <si>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</si>
  <si>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</si>
  <si>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</si>
  <si>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</si>
  <si>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</si>
  <si>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</si>
  <si>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</si>
  <si>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</si>
  <si>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</si>
  <si>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</si>
  <si>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</si>
  <si>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</si>
  <si>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</si>
  <si>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</si>
  <si>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</si>
  <si>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</si>
  <si>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</si>
  <si>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</si>
  <si>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</si>
  <si>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</si>
  <si>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</si>
  <si>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</si>
  <si>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</si>
  <si>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</si>
  <si>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</si>
  <si>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</si>
  <si>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</si>
  <si>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</si>
  <si>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</si>
  <si>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</si>
  <si>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</si>
  <si>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</si>
  <si>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</si>
  <si>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</si>
  <si>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</si>
  <si>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</si>
  <si>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</si>
  <si>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</si>
  <si>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</si>
  <si>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</si>
  <si>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</si>
  <si>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</si>
  <si>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</si>
  <si>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</si>
  <si>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</si>
  <si>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</si>
  <si>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</si>
  <si>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</si>
  <si>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</si>
  <si>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</si>
  <si>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</si>
  <si>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</si>
  <si>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</si>
  <si>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</si>
  <si>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</si>
  <si>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</si>
  <si>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</si>
  <si>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</si>
  <si>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</si>
  <si>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</si>
  <si>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</si>
  <si>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</si>
  <si>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</si>
  <si>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</si>
  <si>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</si>
  <si>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</si>
  <si>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</si>
  <si>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</si>
  <si>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</si>
  <si>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</si>
  <si>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</si>
  <si>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</si>
  <si>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</si>
  <si>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</si>
  <si>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</si>
  <si>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</si>
  <si>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</si>
  <si>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</si>
  <si>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</si>
  <si>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</si>
  <si>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</si>
  <si>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</si>
  <si>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</si>
  <si>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</si>
  <si>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</si>
  <si>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</si>
  <si>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</si>
  <si>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</si>
  <si>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</si>
  <si>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</si>
  <si>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</si>
  <si>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</si>
  <si>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</si>
  <si>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</si>
  <si>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</si>
  <si>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</si>
  <si>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</si>
  <si>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</si>
  <si>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</si>
  <si>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</si>
  <si>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</si>
  <si>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</si>
  <si>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</si>
  <si>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</si>
  <si>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</si>
  <si>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</si>
  <si>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</si>
  <si>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</si>
  <si>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</si>
  <si>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</si>
  <si>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</si>
  <si>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</si>
  <si>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</si>
  <si>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</si>
  <si>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</si>
  <si>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</si>
  <si>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</si>
  <si>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</si>
  <si>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</si>
  <si>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</si>
  <si>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</si>
  <si>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</si>
  <si>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</si>
  <si>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</si>
  <si>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</si>
  <si>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</si>
  <si>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</si>
  <si>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</si>
  <si>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</si>
  <si>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</si>
  <si>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</si>
  <si>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</si>
  <si>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</si>
  <si>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</si>
  <si>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</si>
  <si>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</si>
  <si>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</si>
  <si>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</si>
  <si>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</si>
  <si>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</si>
  <si>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</si>
  <si>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</si>
  <si>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</si>
  <si>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</si>
  <si>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</si>
  <si>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</si>
  <si>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</si>
  <si>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</si>
  <si>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</si>
  <si>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</si>
  <si>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</si>
  <si>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</si>
  <si>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</si>
  <si>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</si>
  <si>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</si>
  <si>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</si>
  <si>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</si>
  <si>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</si>
  <si>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</si>
  <si>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</si>
  <si>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</si>
  <si>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</si>
  <si>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</si>
  <si>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</si>
  <si>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</si>
  <si>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</si>
  <si>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</si>
  <si>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</si>
  <si>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</si>
  <si>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</si>
  <si>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</si>
  <si>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</si>
  <si>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</si>
  <si>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</si>
  <si>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</si>
  <si>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</si>
  <si>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</si>
  <si>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</si>
  <si>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</si>
  <si>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</si>
  <si>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</si>
  <si>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</si>
  <si>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</si>
  <si>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</si>
  <si>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</si>
  <si>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</si>
  <si>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</si>
  <si>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</si>
  <si>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</si>
  <si>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</si>
  <si>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</si>
  <si>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</si>
  <si>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</si>
  <si>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</si>
  <si>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</si>
  <si>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</si>
  <si>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</si>
  <si>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</si>
  <si>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</si>
  <si>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</si>
  <si>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</si>
  <si>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</si>
  <si>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</si>
  <si>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</si>
  <si>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</si>
  <si>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</si>
  <si>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</si>
  <si>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</si>
  <si>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</si>
  <si>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</si>
  <si>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</si>
  <si>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</si>
  <si>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</si>
  <si>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</si>
  <si>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</si>
  <si>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</si>
  <si>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</si>
  <si>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</si>
  <si>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</si>
  <si>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</si>
  <si>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</si>
  <si>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</si>
  <si>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</si>
  <si>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</si>
  <si>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</si>
  <si>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</si>
  <si>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</si>
  <si>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</si>
  <si>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</si>
  <si>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</si>
  <si>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</si>
  <si>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</si>
  <si>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</si>
  <si>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</si>
  <si>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</si>
  <si>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</si>
  <si>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</si>
  <si>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</si>
  <si>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</si>
  <si>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</si>
  <si>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</si>
  <si>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</si>
  <si>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</si>
  <si>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</si>
  <si>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</si>
  <si>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</si>
  <si>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</si>
  <si>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</si>
  <si>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</si>
  <si>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</si>
  <si>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</si>
  <si>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</si>
  <si>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</si>
  <si>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</si>
  <si>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</si>
  <si>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</si>
  <si>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</si>
  <si>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</si>
  <si>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</si>
  <si>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</si>
  <si>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</si>
  <si>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</si>
  <si>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</si>
  <si>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</si>
  <si>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</si>
  <si>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</si>
  <si>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</si>
  <si>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</si>
  <si>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</si>
  <si>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</si>
  <si>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</si>
  <si>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</si>
  <si>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</si>
  <si>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</si>
  <si>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</si>
  <si>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</si>
  <si>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</si>
  <si>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</si>
  <si>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</si>
  <si>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</si>
  <si>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</si>
  <si>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</si>
  <si>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</si>
  <si>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</si>
  <si>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</si>
  <si>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</si>
  <si>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</si>
  <si>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</si>
  <si>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</si>
  <si>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</si>
  <si>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</si>
  <si>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</si>
  <si>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</si>
  <si>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</si>
  <si>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</si>
  <si>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</si>
  <si>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</si>
  <si>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</si>
  <si>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</si>
  <si>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</si>
  <si>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</si>
  <si>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</si>
  <si>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</si>
  <si>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</si>
  <si>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</si>
  <si>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</si>
  <si>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</si>
  <si>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</si>
  <si>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</si>
  <si>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</si>
  <si>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</si>
  <si>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</si>
  <si>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</si>
  <si>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</si>
  <si>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</si>
  <si>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</si>
  <si>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</si>
  <si>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</si>
  <si>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</si>
  <si>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</si>
  <si>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</si>
  <si>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</si>
  <si>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</si>
  <si>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</si>
  <si>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</si>
  <si>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</si>
  <si>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</si>
  <si>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</si>
  <si>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</si>
  <si>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</si>
  <si>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</si>
  <si>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</si>
  <si>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</si>
  <si>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</si>
  <si>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</si>
  <si>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</si>
  <si>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</si>
  <si>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</si>
  <si>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</si>
  <si>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</si>
  <si>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</si>
  <si>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</si>
  <si>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</si>
  <si>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</si>
  <si>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</si>
  <si>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</si>
  <si>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</si>
  <si>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</si>
  <si>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</si>
  <si>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</si>
  <si>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</si>
  <si>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</si>
  <si>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</si>
  <si>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</si>
  <si>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</si>
  <si>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</si>
  <si>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</si>
  <si>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</si>
  <si>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</si>
  <si>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</si>
  <si>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</si>
  <si>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</si>
  <si>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</si>
  <si>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</si>
  <si>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</si>
  <si>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</si>
  <si>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</si>
  <si>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</si>
  <si>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</si>
  <si>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</si>
  <si>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</si>
  <si>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</si>
  <si>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</si>
  <si>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</si>
  <si>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</si>
  <si>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</si>
  <si>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</si>
  <si>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</si>
  <si>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</si>
  <si>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</si>
  <si>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</si>
  <si>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</si>
  <si>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</si>
  <si>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</si>
  <si>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</si>
  <si>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</si>
  <si>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</si>
  <si>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</si>
  <si>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</si>
  <si>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</si>
  <si>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</si>
  <si>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</si>
  <si>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</si>
  <si>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</si>
  <si>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</si>
  <si>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</si>
  <si>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</si>
  <si>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</si>
  <si>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</si>
  <si>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</si>
  <si>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</si>
  <si>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</si>
  <si>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</si>
  <si>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</si>
  <si>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</si>
  <si>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</si>
  <si>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</si>
  <si>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</si>
  <si>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</si>
  <si>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</si>
  <si>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</si>
  <si>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</si>
  <si>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</si>
  <si>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</si>
  <si>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</si>
  <si>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</si>
  <si>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</si>
  <si>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</si>
  <si>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</si>
  <si>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</si>
  <si>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</si>
  <si>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</si>
  <si>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</si>
  <si>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</si>
  <si>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</si>
  <si>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</si>
  <si>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</si>
  <si>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</si>
  <si>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</si>
  <si>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</si>
  <si>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</si>
  <si>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</si>
  <si>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</si>
  <si>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</si>
  <si>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</si>
  <si>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</si>
  <si>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</si>
  <si>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</si>
  <si>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</si>
  <si>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</si>
  <si>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</si>
  <si>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</si>
  <si>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</si>
  <si>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</si>
  <si>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</si>
  <si>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</si>
  <si>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</si>
  <si>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</si>
  <si>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</si>
  <si>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</si>
  <si>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</si>
  <si>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</si>
  <si>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</si>
  <si>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</si>
  <si>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</si>
  <si>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</si>
  <si>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</si>
  <si>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</si>
  <si>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</si>
  <si>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</si>
  <si>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</si>
  <si>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</si>
  <si>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</si>
  <si>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</si>
  <si>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</si>
  <si>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</si>
  <si>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</si>
  <si>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</si>
  <si>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</si>
  <si>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</si>
  <si>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</si>
  <si>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</si>
  <si>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</si>
  <si>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</si>
  <si>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</si>
  <si>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</si>
  <si>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</si>
  <si>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</si>
  <si>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</si>
  <si>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</si>
  <si>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</si>
  <si>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</si>
  <si>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</si>
  <si>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</si>
  <si>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</si>
  <si>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</si>
  <si>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</si>
  <si>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</si>
  <si>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</si>
  <si>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</si>
  <si>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</si>
  <si>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</si>
  <si>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</si>
  <si>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</si>
  <si>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</si>
  <si>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</si>
  <si>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</si>
  <si>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</si>
  <si>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</si>
  <si>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</si>
  <si>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</si>
  <si>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</si>
  <si>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</si>
  <si>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</si>
  <si>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</si>
  <si>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</si>
  <si>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</si>
  <si>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</si>
  <si>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</si>
  <si>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</si>
  <si>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</si>
  <si>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</si>
  <si>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</si>
  <si>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</si>
  <si>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</si>
  <si>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</si>
  <si>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</si>
  <si>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</si>
  <si>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</si>
  <si>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</si>
  <si>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</si>
  <si>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</si>
  <si>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</si>
  <si>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</si>
  <si>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</si>
  <si>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</si>
  <si>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</si>
  <si>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</si>
  <si>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</si>
  <si>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</si>
  <si>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</si>
  <si>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</si>
  <si>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</si>
  <si>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</si>
  <si>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</si>
  <si>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</si>
  <si>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</si>
  <si>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</si>
  <si>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</si>
  <si>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</si>
  <si>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</si>
  <si>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</si>
  <si>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</si>
  <si>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</si>
  <si>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</si>
  <si>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</si>
  <si>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</si>
  <si>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</si>
  <si>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</si>
  <si>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</si>
  <si>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</si>
  <si>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</si>
  <si>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</si>
  <si>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</si>
  <si>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</si>
  <si>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</si>
  <si>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</si>
  <si>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</si>
  <si>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</si>
  <si>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</si>
  <si>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</si>
  <si>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</si>
  <si>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</si>
  <si>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</si>
  <si>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</si>
  <si>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</si>
  <si>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</si>
  <si>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</si>
  <si>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</si>
  <si>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</si>
  <si>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</si>
  <si>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</si>
  <si>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</si>
  <si>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</si>
  <si>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</si>
  <si>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</si>
  <si>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</si>
  <si>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</si>
  <si>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</si>
  <si>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</si>
  <si>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</si>
  <si>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</si>
  <si>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</si>
  <si>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</si>
  <si>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</si>
  <si>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</si>
  <si>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</si>
  <si>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</si>
  <si>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</si>
  <si>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</si>
  <si>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</si>
  <si>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</si>
  <si>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</si>
  <si>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</si>
  <si>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</si>
  <si>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</si>
  <si>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</si>
  <si>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</si>
  <si>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</si>
  <si>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</si>
  <si>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</si>
  <si>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</si>
  <si>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</si>
  <si>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</si>
  <si>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</si>
  <si>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</si>
  <si>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</si>
  <si>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</si>
  <si>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</si>
  <si>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</si>
  <si>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</si>
  <si>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</si>
  <si>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</si>
  <si>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</si>
  <si>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</si>
  <si>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</si>
  <si>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</si>
  <si>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</si>
  <si>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</si>
  <si>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</si>
  <si>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</si>
  <si>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</si>
  <si>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</si>
  <si>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</si>
  <si>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</si>
  <si>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</si>
  <si>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</si>
  <si>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</si>
  <si>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</si>
  <si>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</si>
  <si>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</si>
  <si>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</si>
  <si>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</si>
  <si>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</si>
  <si>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</si>
  <si>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</si>
  <si>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</si>
  <si>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</si>
  <si>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</si>
  <si>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</si>
  <si>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</si>
  <si>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</si>
  <si>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</si>
  <si>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</si>
  <si>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</si>
  <si>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</si>
  <si>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</si>
  <si>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</si>
  <si>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</si>
  <si>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</si>
  <si>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</si>
  <si>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</si>
  <si>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</si>
  <si>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</si>
  <si>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</si>
  <si>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</si>
  <si>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</si>
  <si>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</si>
  <si>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</si>
  <si>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</si>
  <si>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</si>
  <si>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</si>
  <si>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</si>
  <si>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</si>
  <si>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</si>
  <si>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</si>
  <si>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</si>
  <si>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</si>
  <si>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</si>
  <si>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</si>
  <si>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</si>
  <si>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</si>
  <si>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</si>
  <si>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</si>
  <si>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</si>
  <si>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</si>
  <si>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</si>
  <si>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</si>
  <si>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</si>
  <si>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</si>
  <si>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</si>
  <si>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</si>
  <si>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</si>
  <si>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</si>
  <si>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</si>
  <si>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</si>
  <si>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</si>
  <si>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</si>
  <si>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</si>
  <si>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</si>
  <si>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</si>
  <si>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</si>
  <si>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</si>
  <si>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</si>
  <si>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</si>
  <si>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</si>
  <si>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</si>
  <si>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</si>
  <si>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</si>
  <si>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</si>
  <si>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</si>
  <si>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</si>
  <si>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</si>
  <si>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</si>
  <si>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</si>
  <si>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</si>
  <si>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</si>
  <si>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</si>
  <si>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</si>
  <si>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</si>
  <si>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</si>
  <si>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</si>
  <si>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</si>
  <si>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</si>
  <si>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</si>
  <si>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</si>
  <si>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</si>
  <si>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</si>
  <si>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</si>
  <si>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</si>
  <si>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</si>
  <si>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</si>
  <si>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</si>
  <si>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</si>
  <si>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</si>
  <si>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</si>
  <si>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</si>
  <si>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</si>
  <si>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</si>
  <si>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</si>
  <si>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</si>
  <si>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</si>
  <si>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</si>
  <si>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</si>
  <si>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</si>
  <si>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</si>
  <si>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</si>
  <si>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</si>
  <si>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</si>
  <si>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</si>
  <si>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</si>
  <si>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</si>
  <si>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</si>
  <si>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</si>
  <si>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</si>
  <si>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</si>
  <si>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</si>
  <si>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</si>
  <si>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</si>
  <si>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</si>
  <si>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</si>
  <si>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</si>
  <si>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</si>
  <si>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</si>
  <si>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</si>
  <si>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</si>
  <si>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</si>
  <si>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</si>
  <si>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</si>
  <si>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</si>
  <si>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</si>
  <si>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</si>
  <si>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</si>
  <si>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</si>
  <si>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</si>
  <si>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</si>
  <si>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</si>
  <si>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</si>
  <si>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</si>
  <si>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</si>
  <si>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</si>
  <si>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</si>
  <si>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</si>
  <si>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</si>
  <si>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</si>
  <si>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</si>
  <si>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</si>
  <si>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</si>
  <si>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</si>
  <si>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</si>
  <si>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</si>
  <si>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</si>
  <si>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</si>
  <si>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</si>
  <si>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</si>
  <si>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</si>
  <si>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</si>
  <si>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</si>
  <si>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</si>
  <si>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</si>
  <si>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</si>
  <si>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</si>
  <si>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</si>
  <si>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</si>
  <si>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</si>
  <si>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</si>
  <si>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</si>
  <si>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</si>
  <si>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</si>
  <si>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</si>
  <si>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</si>
  <si>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</si>
  <si>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</si>
  <si>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</si>
  <si>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</si>
  <si>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</si>
  <si>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</si>
  <si>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</si>
  <si>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</si>
  <si>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</si>
  <si>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</si>
  <si>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</si>
  <si>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</si>
  <si>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</si>
  <si>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</si>
  <si>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</si>
  <si>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</si>
  <si>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</si>
  <si>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</si>
  <si>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</si>
  <si>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</si>
  <si>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</si>
  <si>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</si>
  <si>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</si>
  <si>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</si>
  <si>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</si>
  <si>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</si>
  <si>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</si>
  <si>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</si>
  <si>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</si>
  <si>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</si>
  <si>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</si>
  <si>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</si>
  <si>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</si>
  <si>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</si>
  <si>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</si>
  <si>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</si>
  <si>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</si>
  <si>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</si>
  <si>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</si>
  <si>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</si>
  <si>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</si>
  <si>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</si>
  <si>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</si>
  <si>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</si>
  <si>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</si>
  <si>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</si>
  <si>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</si>
  <si>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</si>
  <si>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</si>
  <si>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</si>
  <si>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</si>
  <si>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</si>
  <si>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</si>
  <si>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</si>
  <si>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</si>
  <si>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</si>
  <si>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</si>
  <si>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</si>
  <si>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</si>
  <si>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</si>
  <si>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</si>
  <si>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</si>
  <si>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</si>
  <si>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</si>
  <si>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</si>
  <si>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</si>
  <si>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</si>
  <si>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</si>
  <si>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</si>
  <si>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</si>
  <si>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</si>
  <si>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</si>
  <si>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</si>
  <si>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</si>
  <si>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</si>
  <si>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</si>
  <si>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</si>
  <si>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</si>
  <si>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</si>
  <si>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</si>
  <si>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</si>
  <si>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</si>
  <si>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</si>
  <si>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</si>
  <si>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</si>
  <si>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</si>
  <si>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</si>
  <si>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</si>
  <si>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</si>
  <si>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</si>
  <si>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</si>
  <si>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</si>
  <si>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</si>
  <si>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</si>
  <si>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</si>
  <si>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</si>
  <si>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</si>
  <si>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</si>
  <si>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</si>
  <si>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</si>
  <si>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</si>
  <si>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</si>
  <si>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</si>
  <si>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</si>
  <si>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</si>
  <si>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</si>
  <si>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</si>
  <si>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</si>
  <si>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</si>
  <si>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</si>
  <si>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</si>
  <si>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</si>
  <si>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</si>
  <si>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</si>
  <si>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</si>
  <si>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</si>
  <si>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</si>
  <si>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</si>
  <si>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</si>
  <si>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</si>
  <si>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</si>
  <si>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</si>
  <si>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</si>
  <si>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</si>
  <si>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</si>
  <si>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</si>
  <si>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</si>
  <si>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</si>
  <si>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</si>
  <si>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</si>
  <si>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</si>
  <si>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</si>
  <si>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</si>
  <si>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</si>
  <si>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</si>
  <si>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</si>
  <si>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</si>
  <si>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</si>
  <si>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</si>
  <si>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</si>
  <si>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</si>
  <si>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</si>
  <si>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</si>
  <si>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</si>
  <si>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</si>
  <si>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</si>
  <si>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</si>
  <si>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</si>
  <si>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</si>
  <si>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</si>
  <si>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</si>
  <si>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</si>
  <si>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</si>
  <si>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</si>
  <si>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</si>
  <si>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</si>
  <si>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</si>
  <si>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</si>
  <si>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</si>
  <si>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</si>
  <si>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</si>
  <si>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</si>
  <si>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</si>
  <si>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</si>
  <si>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</si>
  <si>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</si>
  <si>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</si>
  <si>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</si>
  <si>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</si>
  <si>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</si>
  <si>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</si>
  <si>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</si>
  <si>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</si>
  <si>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</si>
  <si>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</si>
  <si>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</si>
  <si>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</si>
  <si>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</si>
  <si>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</si>
  <si>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</si>
  <si>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</si>
  <si>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</si>
  <si>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</si>
  <si>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</si>
  <si>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</si>
  <si>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</si>
  <si>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</si>
  <si>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</si>
  <si>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</si>
  <si>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</si>
  <si>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</si>
  <si>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</si>
  <si>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</si>
  <si>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</si>
  <si>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</si>
  <si>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</si>
  <si>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</si>
  <si>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</si>
  <si>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</si>
  <si>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</si>
  <si>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</si>
  <si>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</si>
  <si>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</si>
  <si>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</si>
  <si>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</si>
  <si>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</si>
  <si>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</si>
  <si>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</si>
  <si>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</si>
  <si>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</si>
  <si>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</si>
  <si>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</si>
  <si>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</si>
  <si>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</si>
  <si>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</si>
  <si>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</si>
  <si>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</si>
  <si>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</si>
  <si>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</si>
  <si>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</si>
  <si>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</si>
  <si>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</si>
  <si>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</si>
  <si>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</si>
  <si>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</si>
  <si>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</si>
  <si>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</si>
  <si>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</si>
  <si>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</si>
  <si>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</si>
  <si>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</si>
  <si>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</si>
  <si>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</si>
  <si>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</si>
  <si>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</si>
  <si>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</si>
  <si>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</si>
  <si>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</si>
  <si>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</si>
  <si>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</si>
  <si>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</si>
  <si>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</si>
  <si>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</si>
  <si>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</si>
  <si>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</si>
  <si>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</si>
  <si>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</si>
  <si>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</si>
  <si>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</si>
  <si>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</si>
  <si>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</si>
  <si>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</si>
  <si>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</si>
  <si>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</si>
  <si>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</si>
  <si>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</si>
  <si>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</si>
  <si>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</si>
  <si>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</si>
  <si>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</si>
  <si>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</si>
  <si>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</si>
  <si>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</si>
  <si>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</si>
  <si>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</si>
  <si>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</si>
  <si>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</si>
  <si>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</si>
  <si>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</si>
  <si>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</si>
  <si>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</si>
  <si>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</si>
  <si>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</si>
  <si>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</si>
  <si>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</si>
  <si>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</si>
  <si>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</si>
  <si>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</si>
  <si>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</si>
  <si>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</si>
  <si>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</si>
  <si>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</si>
  <si>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</si>
  <si>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</si>
  <si>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</si>
  <si>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</si>
  <si>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</si>
  <si>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</si>
  <si>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</si>
  <si>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</si>
  <si>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</si>
  <si>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</si>
  <si>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</si>
  <si>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</si>
  <si>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</si>
  <si>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</si>
  <si>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</si>
  <si>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</si>
  <si>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</si>
  <si>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</si>
  <si>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</si>
  <si>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</si>
  <si>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</si>
  <si>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</si>
  <si>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</si>
  <si>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</si>
  <si>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</si>
  <si>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</si>
  <si>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</si>
  <si>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</si>
  <si>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</si>
  <si>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</si>
  <si>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</si>
  <si>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</si>
  <si>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</si>
  <si>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</si>
  <si>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</si>
  <si>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</si>
  <si>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</si>
  <si>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</si>
  <si>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</si>
  <si>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</si>
  <si>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</si>
  <si>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</si>
  <si>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</si>
  <si>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</si>
  <si>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</si>
  <si>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</si>
  <si>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</si>
  <si>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</si>
  <si>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</si>
  <si>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</si>
  <si>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</si>
  <si>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</si>
  <si>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</si>
  <si>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</si>
  <si>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</si>
  <si>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</si>
  <si>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</si>
  <si>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</si>
  <si>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</si>
  <si>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</si>
  <si>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</si>
  <si>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</si>
  <si>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</si>
  <si>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</si>
  <si>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</si>
  <si>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</si>
  <si>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</si>
  <si>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</si>
  <si>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</si>
  <si>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</si>
  <si>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</si>
  <si>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</si>
  <si>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</si>
  <si>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</si>
  <si>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</si>
  <si>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</si>
  <si>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</si>
  <si>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</si>
  <si>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</si>
  <si>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</si>
  <si>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</si>
  <si>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</si>
  <si>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</si>
  <si>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</si>
  <si>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</si>
  <si>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</si>
  <si>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</si>
  <si>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</si>
  <si>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</si>
  <si>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</si>
  <si>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</si>
  <si>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</si>
  <si>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</si>
  <si>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</si>
  <si>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</si>
  <si>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</si>
  <si>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</si>
  <si>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</si>
  <si>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</si>
  <si>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</si>
  <si>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</si>
  <si>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</si>
  <si>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</si>
  <si>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</si>
  <si>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</si>
  <si>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</si>
  <si>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</si>
  <si>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</si>
  <si>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</si>
  <si>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</si>
  <si>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</si>
  <si>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</si>
  <si>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</si>
  <si>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</si>
  <si>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</si>
  <si>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</si>
  <si>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</si>
  <si>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</si>
  <si>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</si>
  <si>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</si>
  <si>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</si>
  <si>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</si>
  <si>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</si>
  <si>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</si>
  <si>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</si>
  <si>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</si>
  <si>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</si>
  <si>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</si>
  <si>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</si>
  <si>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</si>
  <si>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</si>
  <si>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</si>
  <si>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</si>
  <si>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</si>
  <si>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</si>
  <si>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</si>
  <si>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</si>
  <si>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</si>
  <si>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</si>
  <si>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</si>
  <si>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</si>
  <si>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</si>
  <si>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</si>
  <si>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</si>
  <si>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</si>
  <si>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</si>
  <si>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</si>
  <si>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</si>
  <si>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</si>
  <si>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</si>
  <si>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</si>
  <si>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</si>
  <si>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</si>
  <si>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</si>
  <si>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</si>
  <si>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</si>
  <si>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</si>
  <si>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</si>
  <si>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</si>
  <si>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</si>
  <si>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</si>
  <si>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</si>
  <si>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</si>
  <si>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</si>
  <si>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</si>
  <si>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</si>
  <si>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</si>
  <si>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</si>
  <si>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</si>
  <si>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</si>
  <si>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</si>
  <si>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</si>
  <si>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</si>
  <si>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</si>
  <si>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</si>
  <si>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</si>
  <si>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</si>
  <si>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</si>
  <si>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</si>
  <si>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</si>
  <si>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</si>
  <si>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</si>
  <si>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</si>
  <si>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</si>
  <si>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</si>
  <si>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</si>
  <si>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</si>
  <si>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</si>
  <si>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</si>
  <si>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</si>
  <si>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</si>
  <si>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</si>
  <si>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</si>
  <si>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</si>
  <si>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</si>
  <si>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</si>
  <si>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</si>
  <si>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</si>
  <si>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</si>
  <si>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</si>
  <si>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</si>
  <si>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</si>
  <si>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</si>
  <si>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</si>
  <si>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</si>
  <si>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</si>
  <si>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</si>
  <si>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</si>
  <si>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</si>
  <si>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</si>
  <si>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</si>
  <si>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</si>
  <si>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</si>
  <si>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</si>
  <si>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</si>
  <si>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</si>
  <si>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</si>
  <si>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</si>
  <si>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</si>
  <si>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</si>
  <si>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</si>
  <si>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</si>
  <si>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</si>
  <si>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</si>
  <si>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</si>
  <si>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</si>
  <si>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</si>
  <si>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</si>
  <si>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</si>
  <si>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</si>
  <si>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</si>
  <si>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</si>
  <si>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</si>
  <si>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</si>
  <si>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</si>
  <si>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</si>
  <si>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</si>
  <si>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</si>
  <si>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</si>
  <si>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</si>
  <si>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</si>
  <si>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</si>
  <si>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</si>
  <si>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</si>
  <si>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</si>
  <si>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</si>
  <si>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</si>
  <si>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</si>
  <si>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</si>
  <si>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</si>
  <si>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</si>
  <si>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</si>
  <si>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</si>
  <si>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</si>
  <si>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</si>
  <si>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</si>
  <si>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</si>
  <si>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</si>
  <si>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</si>
  <si>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</si>
  <si>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</si>
  <si>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</si>
  <si>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</si>
  <si>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</si>
  <si>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</si>
  <si>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</si>
  <si>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</si>
  <si>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</si>
  <si>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</si>
  <si>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</si>
  <si>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</si>
  <si>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</si>
  <si>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</si>
  <si>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</si>
  <si>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</si>
  <si>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</si>
  <si>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</si>
  <si>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</si>
  <si>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</si>
  <si>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</si>
  <si>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</si>
  <si>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</si>
  <si>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</si>
  <si>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</si>
  <si>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</si>
  <si>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</si>
  <si>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</si>
  <si>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</si>
  <si>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</si>
  <si>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</si>
  <si>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</si>
  <si>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</si>
  <si>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</si>
  <si>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</si>
  <si>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</si>
  <si>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</si>
  <si>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</si>
  <si>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</si>
  <si>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</si>
  <si>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</si>
  <si>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</si>
  <si>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</si>
  <si>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</si>
  <si>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</si>
  <si>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</si>
  <si>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</si>
  <si>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</si>
  <si>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</si>
  <si>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</si>
  <si>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</si>
  <si>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</si>
  <si>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</si>
  <si>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</si>
  <si>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</si>
  <si>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</si>
  <si>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</si>
  <si>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</si>
  <si>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</si>
  <si>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</si>
  <si>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</si>
  <si>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</si>
  <si>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</si>
  <si>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</si>
  <si>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</si>
  <si>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</si>
  <si>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</si>
  <si>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</si>
  <si>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</si>
  <si>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</si>
  <si>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</si>
  <si>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</si>
  <si>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</si>
  <si>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</si>
  <si>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</si>
  <si>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</si>
  <si>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</si>
  <si>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</si>
  <si>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</si>
  <si>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</si>
  <si>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</si>
  <si>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</si>
  <si>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</si>
  <si>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</si>
  <si>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</si>
  <si>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</si>
  <si>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</si>
  <si>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</si>
  <si>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</si>
  <si>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</si>
  <si>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</si>
  <si>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</si>
  <si>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</si>
  <si>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</si>
  <si>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</si>
  <si>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</si>
  <si>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</si>
  <si>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</si>
  <si>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</si>
  <si>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</si>
  <si>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</si>
  <si>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</si>
  <si>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</si>
  <si>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</si>
  <si>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</si>
  <si>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</si>
  <si>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</si>
  <si>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</si>
  <si>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</si>
  <si>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</si>
  <si>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</si>
  <si>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</si>
  <si>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</si>
  <si>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</si>
  <si>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</si>
  <si>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</si>
  <si>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</si>
  <si>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</si>
  <si>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</si>
  <si>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</si>
  <si>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</si>
  <si>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</si>
  <si>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</si>
  <si>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</si>
  <si>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</si>
  <si>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</si>
  <si>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</si>
  <si>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</si>
  <si>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</si>
  <si>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</si>
  <si>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</si>
  <si>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</si>
  <si>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</si>
  <si>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</si>
  <si>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</si>
  <si>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</si>
  <si>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</si>
  <si>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</si>
  <si>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</si>
  <si>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</si>
  <si>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</si>
  <si>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</si>
  <si>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</si>
  <si>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</si>
  <si>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</si>
  <si>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</si>
  <si>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</si>
  <si>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</si>
  <si>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</si>
  <si>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</si>
  <si>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</si>
  <si>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</si>
  <si>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</si>
  <si>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</si>
  <si>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</si>
  <si>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</si>
  <si>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</si>
  <si>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</si>
  <si>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</si>
  <si>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</si>
  <si>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</si>
  <si>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</si>
  <si>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</si>
  <si>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</si>
  <si>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</si>
  <si>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</si>
  <si>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</si>
  <si>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</si>
  <si>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</si>
  <si>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</si>
  <si>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</si>
  <si>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</si>
  <si>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</si>
  <si>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</si>
  <si>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</si>
  <si>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</si>
  <si>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</si>
  <si>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</si>
  <si>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</si>
  <si>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</si>
  <si>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</si>
  <si>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</si>
  <si>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</si>
  <si>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</si>
  <si>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</si>
  <si>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</si>
  <si>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</si>
  <si>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</si>
  <si>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</si>
  <si>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</si>
  <si>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</si>
  <si>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</si>
  <si>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</si>
  <si>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</si>
  <si>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</si>
  <si>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</si>
  <si>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</si>
  <si>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</si>
  <si>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</si>
  <si>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</si>
  <si>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</si>
  <si>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</si>
  <si>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</si>
  <si>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</si>
  <si>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</si>
  <si>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</si>
  <si>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</si>
  <si>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</si>
  <si>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</si>
  <si>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</si>
  <si>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</si>
  <si>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</si>
  <si>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</si>
  <si>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</si>
  <si>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</si>
  <si>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</si>
  <si>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</si>
  <si>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</si>
  <si>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</si>
  <si>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</si>
  <si>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</si>
  <si>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</si>
  <si>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</si>
  <si>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</si>
  <si>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</si>
  <si>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</si>
  <si>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</si>
  <si>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</si>
  <si>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</si>
  <si>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</si>
  <si>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</si>
  <si>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</si>
  <si>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</si>
  <si>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</si>
  <si>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</si>
  <si>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</si>
  <si>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</si>
  <si>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</si>
  <si>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</si>
  <si>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</si>
  <si>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</si>
  <si>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</si>
  <si>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</si>
  <si>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</si>
  <si>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</si>
  <si>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</si>
  <si>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</si>
  <si>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</si>
  <si>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</si>
  <si>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</si>
  <si>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</si>
  <si>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</si>
  <si>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</si>
  <si>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</si>
  <si>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</si>
  <si>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</si>
  <si>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</si>
  <si>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</si>
  <si>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</si>
  <si>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</si>
  <si>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</si>
  <si>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</si>
  <si>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</si>
  <si>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</si>
  <si>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</si>
  <si>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</si>
  <si>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</si>
  <si>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</si>
  <si>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</si>
  <si>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</si>
  <si>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</si>
  <si>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</si>
  <si>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</si>
  <si>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</si>
  <si>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</si>
  <si>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</si>
  <si>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</si>
  <si>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</si>
  <si>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</si>
  <si>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</si>
  <si>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</si>
  <si>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</si>
  <si>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</si>
  <si>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</si>
  <si>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</si>
  <si>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</si>
  <si>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</si>
  <si>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</si>
  <si>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</si>
  <si>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</si>
  <si>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</si>
  <si>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</si>
  <si>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</si>
  <si>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</si>
  <si>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</si>
  <si>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</si>
  <si>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</si>
  <si>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</si>
  <si>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</si>
  <si>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</si>
  <si>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</si>
  <si>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</si>
  <si>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</si>
  <si>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</si>
  <si>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</si>
  <si>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</si>
  <si>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</si>
  <si>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</si>
  <si>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</si>
  <si>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</si>
  <si>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</si>
  <si>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</si>
  <si>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</si>
  <si>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</si>
  <si>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</si>
  <si>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</si>
  <si>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</si>
  <si>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</si>
  <si>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</si>
  <si>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</si>
  <si>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</si>
  <si>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</si>
  <si>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</si>
  <si>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</si>
  <si>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</si>
  <si>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</si>
  <si>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</si>
  <si>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</si>
  <si>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</si>
  <si>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</si>
  <si>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</si>
  <si>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</si>
  <si>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</si>
  <si>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</si>
  <si>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</si>
  <si>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</si>
  <si>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</si>
  <si>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</si>
  <si>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</si>
  <si>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</si>
  <si>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</si>
  <si>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</si>
  <si>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</si>
  <si>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</si>
  <si>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</si>
  <si>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</si>
  <si>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</si>
  <si>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</si>
  <si>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</si>
  <si>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</si>
  <si>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</si>
  <si>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</si>
  <si>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</si>
  <si>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</si>
  <si>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</si>
  <si>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</si>
  <si>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</si>
  <si>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</si>
  <si>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</si>
  <si>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</si>
  <si>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</si>
  <si>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</si>
  <si>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</si>
  <si>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</si>
  <si>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</si>
  <si>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</si>
  <si>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</si>
  <si>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</si>
  <si>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</si>
  <si>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</si>
  <si>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</si>
  <si>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</si>
  <si>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</si>
  <si>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</si>
  <si>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</si>
  <si>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</si>
  <si>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</si>
  <si>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</si>
  <si>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</si>
  <si>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</si>
  <si>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</si>
  <si>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</si>
  <si>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</si>
  <si>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</si>
  <si>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</si>
  <si>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</si>
  <si>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</si>
  <si>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</si>
  <si>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</si>
  <si>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</si>
  <si>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</si>
  <si>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</si>
  <si>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</si>
  <si>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</si>
  <si>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</si>
  <si>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</si>
  <si>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</si>
  <si>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</si>
  <si>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</si>
  <si>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</si>
  <si>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</si>
  <si>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</si>
  <si>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</si>
  <si>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</si>
  <si>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</si>
  <si>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</si>
  <si>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</si>
  <si>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</si>
  <si>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</si>
  <si>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</si>
  <si>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</si>
  <si>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</si>
  <si>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</si>
  <si>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</si>
  <si>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</si>
  <si>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</si>
  <si>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</si>
  <si>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</si>
  <si>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</si>
  <si>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</si>
  <si>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</si>
  <si>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</si>
  <si>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</si>
  <si>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</si>
  <si>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</si>
  <si>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</si>
  <si>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</si>
  <si>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</si>
  <si>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</si>
  <si>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</si>
  <si>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</si>
  <si>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</si>
  <si>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</si>
  <si>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</si>
  <si>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</si>
  <si>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</si>
  <si>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</si>
  <si>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</si>
  <si>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</si>
  <si>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</si>
  <si>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</si>
  <si>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</si>
  <si>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</si>
  <si>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</si>
  <si>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</si>
  <si>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</si>
  <si>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</si>
  <si>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</si>
  <si>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</si>
  <si>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</si>
  <si>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</si>
  <si>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</si>
  <si>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</si>
  <si>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</si>
  <si>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</si>
  <si>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</si>
  <si>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</si>
  <si>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</si>
  <si>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</si>
  <si>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</si>
  <si>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</si>
  <si>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</si>
  <si>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</si>
  <si>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</si>
  <si>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</si>
  <si>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</si>
  <si>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</si>
  <si>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</si>
  <si>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</si>
  <si>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</si>
  <si>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</si>
  <si>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</si>
  <si>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</si>
  <si>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</si>
  <si>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</si>
  <si>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</si>
  <si>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</si>
  <si>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</si>
  <si>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</si>
  <si>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</si>
  <si>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</si>
  <si>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</si>
  <si>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</si>
  <si>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</si>
  <si>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</si>
  <si>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</si>
  <si>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</si>
  <si>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</si>
  <si>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</si>
  <si>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</si>
  <si>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</si>
  <si>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</si>
  <si>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</si>
  <si>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</si>
  <si>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</si>
  <si>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</si>
  <si>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</si>
  <si>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</si>
  <si>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</si>
  <si>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</si>
  <si>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</si>
  <si>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</si>
  <si>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</si>
  <si>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</si>
  <si>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</si>
  <si>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</si>
  <si>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</si>
  <si>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</si>
  <si>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</si>
  <si>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</si>
  <si>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</si>
  <si>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</si>
  <si>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</si>
  <si>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</si>
  <si>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</si>
  <si>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</si>
  <si>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</si>
  <si>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</si>
  <si>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</si>
  <si>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</si>
  <si>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</si>
  <si>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</si>
  <si>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</si>
  <si>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</si>
  <si>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</si>
  <si>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</si>
  <si>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</si>
  <si>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</si>
  <si>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</si>
  <si>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</si>
  <si>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</si>
  <si>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</si>
  <si>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</si>
  <si>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</si>
  <si>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</si>
  <si>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</si>
  <si>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</si>
  <si>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</si>
  <si>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</si>
  <si>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</si>
  <si>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</si>
  <si>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</si>
  <si>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</si>
  <si>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</si>
  <si>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</si>
  <si>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</si>
  <si>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</si>
  <si>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</si>
  <si>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</si>
  <si>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</si>
  <si>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</si>
  <si>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</si>
  <si>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</si>
  <si>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</si>
  <si>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</si>
  <si>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</si>
  <si>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</si>
  <si>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</si>
  <si>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</si>
  <si>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</si>
  <si>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</si>
  <si>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</si>
  <si>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</si>
  <si>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</si>
  <si>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</si>
  <si>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</si>
  <si>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</si>
  <si>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</si>
  <si>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</si>
  <si>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</si>
  <si>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</si>
  <si>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</si>
  <si>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</si>
  <si>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</si>
  <si>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</si>
  <si>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</si>
  <si>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</si>
  <si>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</si>
  <si>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</si>
  <si>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</si>
  <si>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</si>
  <si>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</si>
  <si>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</si>
  <si>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</si>
  <si>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</si>
  <si>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</si>
  <si>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</si>
  <si>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</si>
  <si>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</si>
  <si>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</si>
  <si>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</si>
  <si>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</si>
  <si>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</si>
  <si>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</si>
  <si>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</si>
  <si>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</si>
  <si>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</si>
  <si>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</si>
  <si>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</si>
  <si>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</si>
  <si>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</si>
  <si>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</si>
  <si>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</si>
  <si>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</si>
  <si>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</si>
  <si>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</si>
  <si>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</si>
  <si>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</si>
  <si>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</si>
  <si>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</si>
  <si>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</si>
  <si>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</si>
  <si>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</si>
  <si>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</si>
  <si>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</si>
  <si>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</si>
  <si>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</si>
  <si>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</si>
  <si>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</si>
  <si>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</si>
  <si>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</si>
  <si>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</si>
  <si>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</si>
  <si>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</si>
  <si>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</si>
  <si>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</si>
  <si>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</si>
  <si>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</si>
  <si>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</si>
  <si>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</si>
  <si>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</si>
  <si>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</si>
  <si>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</si>
  <si>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</si>
  <si>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</si>
  <si>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</si>
  <si>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</si>
  <si>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</si>
  <si>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</si>
  <si>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</si>
  <si>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</si>
  <si>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</si>
  <si>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</si>
  <si>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</si>
  <si>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</si>
  <si>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</si>
  <si>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</si>
  <si>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</si>
  <si>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</si>
  <si>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</si>
  <si>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</si>
  <si>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</si>
  <si>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</si>
  <si>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</si>
  <si>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</si>
  <si>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</si>
  <si>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</si>
  <si>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</si>
  <si>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</si>
  <si>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</si>
  <si>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</si>
  <si>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</si>
  <si>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</si>
  <si>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</si>
  <si>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</si>
  <si>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</si>
  <si>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</si>
  <si>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</si>
  <si>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</si>
  <si>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</si>
  <si>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</si>
  <si>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</si>
  <si>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</si>
  <si>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</si>
  <si>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</si>
  <si>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</si>
  <si>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</si>
  <si>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</si>
  <si>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</si>
  <si>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</si>
  <si>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</si>
  <si>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</si>
  <si>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</si>
  <si>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</si>
  <si>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</si>
  <si>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</si>
  <si>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</si>
  <si>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</si>
  <si>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</si>
  <si>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</si>
  <si>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</si>
  <si>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</si>
  <si>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</si>
  <si>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</si>
  <si>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</si>
  <si>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</si>
  <si>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</si>
  <si>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</si>
  <si>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</si>
  <si>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</si>
  <si>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</si>
  <si>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</si>
  <si>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</si>
  <si>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</si>
  <si>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</si>
  <si>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</si>
  <si>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</si>
  <si>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</si>
  <si>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</si>
  <si>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</si>
  <si>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</si>
  <si>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</si>
  <si>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</si>
  <si>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</si>
  <si>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</si>
  <si>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</si>
  <si>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</si>
  <si>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</si>
  <si>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</si>
  <si>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</si>
  <si>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</si>
  <si>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</si>
  <si>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</si>
  <si>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</si>
  <si>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</si>
  <si>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</si>
  <si>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</si>
  <si>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</si>
  <si>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</si>
  <si>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</si>
  <si>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</si>
  <si>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</si>
  <si>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</si>
  <si>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</si>
  <si>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</si>
  <si>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</si>
  <si>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</si>
  <si>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</si>
  <si>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</si>
  <si>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</si>
  <si>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</si>
  <si>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</si>
  <si>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</si>
  <si>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</si>
  <si>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</si>
  <si>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</si>
  <si>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</si>
  <si>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</si>
  <si>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</si>
  <si>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</si>
  <si>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</si>
  <si>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</si>
  <si>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</si>
  <si>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</si>
  <si>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</si>
  <si>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</si>
  <si>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</si>
  <si>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</si>
  <si>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</si>
  <si>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</si>
  <si>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</si>
  <si>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</si>
  <si>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</si>
  <si>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</si>
  <si>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</si>
  <si>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</si>
  <si>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</si>
  <si>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</si>
  <si>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</si>
  <si>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</si>
  <si>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</si>
  <si>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</si>
  <si>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</si>
  <si>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</si>
  <si>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</si>
  <si>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</si>
  <si>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</si>
  <si>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</si>
  <si>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</si>
  <si>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</si>
  <si>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</si>
  <si>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</si>
  <si>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</si>
  <si>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</si>
  <si>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</si>
  <si>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</si>
  <si>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</si>
  <si>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</si>
  <si>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</si>
  <si>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</si>
  <si>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</si>
  <si>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</si>
  <si>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</si>
  <si>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</si>
  <si>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</si>
  <si>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</si>
  <si>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</si>
  <si>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</si>
  <si>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</si>
  <si>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</si>
  <si>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</si>
  <si>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</si>
  <si>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</si>
  <si>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</si>
  <si>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</si>
  <si>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</si>
  <si>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</si>
  <si>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</si>
  <si>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</si>
  <si>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</si>
  <si>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</si>
  <si>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</si>
  <si>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</si>
  <si>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</si>
  <si>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</si>
  <si>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</si>
  <si>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</si>
  <si>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</si>
  <si>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</si>
  <si>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</si>
  <si>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</si>
  <si>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</si>
  <si>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</si>
  <si>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</si>
  <si>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</si>
  <si>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</si>
  <si>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</si>
  <si>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</si>
  <si>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</si>
  <si>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</si>
  <si>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</si>
  <si>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</si>
  <si>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</si>
  <si>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</si>
  <si>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</si>
  <si>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</si>
  <si>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</si>
  <si>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</si>
  <si>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</si>
  <si>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</si>
  <si>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</si>
  <si>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</si>
  <si>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</si>
  <si>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</si>
  <si>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</si>
  <si>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</si>
  <si>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</si>
  <si>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</si>
  <si>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</si>
  <si>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</si>
  <si>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</si>
  <si>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</si>
  <si>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</si>
  <si>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</si>
  <si>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</si>
  <si>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</si>
  <si>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</si>
  <si>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</si>
  <si>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</si>
  <si>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</si>
  <si>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</si>
  <si>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</si>
  <si>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</si>
  <si>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</si>
  <si>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</si>
  <si>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</si>
  <si>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</si>
  <si>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</si>
  <si>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</si>
  <si>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</si>
  <si>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</si>
  <si>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</si>
  <si>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</si>
  <si>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</si>
  <si>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</si>
  <si>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</si>
  <si>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</si>
  <si>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</si>
  <si>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</si>
  <si>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</si>
  <si>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</si>
  <si>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</si>
  <si>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</si>
  <si>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</si>
  <si>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</si>
  <si>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</si>
  <si>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</si>
  <si>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</si>
  <si>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</si>
  <si>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</si>
  <si>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</si>
  <si>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</si>
  <si>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</si>
  <si>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</si>
  <si>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</si>
  <si>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</si>
  <si>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</si>
  <si>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</si>
  <si>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</si>
  <si>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</si>
  <si>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</si>
  <si>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</si>
  <si>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</si>
  <si>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</si>
  <si>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</si>
  <si>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</si>
  <si>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</si>
  <si>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</si>
  <si>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</si>
  <si>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</si>
  <si>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</si>
  <si>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</si>
  <si>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</si>
  <si>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</si>
  <si>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</si>
  <si>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</si>
  <si>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</si>
  <si>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</si>
  <si>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</si>
  <si>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</si>
  <si>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</si>
  <si>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</si>
  <si>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</si>
  <si>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</si>
  <si>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</si>
  <si>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</si>
  <si>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</si>
  <si>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</si>
  <si>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</si>
  <si>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</si>
  <si>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</si>
  <si>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</si>
  <si>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</si>
  <si>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</si>
  <si>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</si>
  <si>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</si>
  <si>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</si>
  <si>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</si>
  <si>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</si>
  <si>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</si>
  <si>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</si>
  <si>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</si>
  <si>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</si>
  <si>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</si>
  <si>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</si>
  <si>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</si>
  <si>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</si>
  <si>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</si>
  <si>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</si>
  <si>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</si>
  <si>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</si>
  <si>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</si>
  <si>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</si>
  <si>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</si>
  <si>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</si>
  <si>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</si>
  <si>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</si>
  <si>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</si>
  <si>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</si>
  <si>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</si>
  <si>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</si>
  <si>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</si>
  <si>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</si>
  <si>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</si>
  <si>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</si>
  <si>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</si>
  <si>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</si>
  <si>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</si>
  <si>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</si>
  <si>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</si>
  <si>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</si>
  <si>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</si>
  <si>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</si>
  <si>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</si>
  <si>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</si>
  <si>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</si>
  <si>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</si>
  <si>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</si>
  <si>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</si>
  <si>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</si>
  <si>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</si>
  <si>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</si>
  <si>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</si>
  <si>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</si>
  <si>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</si>
  <si>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</si>
  <si>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</si>
  <si>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</si>
  <si>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</si>
  <si>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</si>
  <si>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</si>
  <si>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</si>
  <si>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</si>
  <si>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</si>
  <si>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</si>
  <si>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</si>
  <si>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</si>
  <si>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</si>
  <si>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</si>
  <si>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</si>
  <si>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</si>
  <si>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</si>
  <si>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</si>
  <si>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</si>
  <si>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</si>
  <si>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</si>
  <si>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</si>
  <si>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</si>
  <si>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</si>
  <si>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</si>
  <si>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</si>
  <si>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</si>
  <si>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</si>
  <si>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</si>
  <si>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</si>
  <si>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</si>
  <si>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</si>
  <si>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</si>
  <si>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</si>
  <si>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</si>
  <si>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</si>
  <si>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</si>
  <si>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</si>
  <si>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</si>
  <si>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</si>
  <si>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</si>
  <si>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</si>
  <si>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</si>
  <si>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</si>
  <si>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</si>
  <si>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</si>
  <si>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</si>
  <si>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</si>
  <si>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</si>
  <si>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</si>
  <si>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</si>
  <si>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</si>
  <si>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</si>
  <si>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</si>
  <si>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</si>
  <si>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</si>
  <si>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</si>
  <si>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</si>
  <si>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</si>
  <si>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</si>
  <si>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</si>
  <si>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</si>
  <si>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</si>
  <si>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</si>
  <si>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</si>
  <si>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</si>
  <si>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</si>
  <si>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</si>
  <si>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</si>
  <si>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</si>
  <si>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</si>
  <si>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</si>
  <si>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</si>
  <si>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</si>
  <si>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</si>
  <si>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</si>
  <si>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</si>
  <si>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</si>
  <si>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</si>
  <si>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</si>
  <si>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</si>
  <si>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</si>
  <si>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</si>
  <si>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</si>
  <si>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</si>
  <si>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</si>
  <si>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</si>
  <si>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</si>
  <si>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</si>
  <si>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</si>
  <si>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</si>
  <si>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</si>
  <si>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</si>
  <si>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</si>
  <si>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</si>
  <si>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</si>
  <si>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</si>
  <si>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</si>
  <si>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</si>
  <si>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</si>
  <si>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</si>
  <si>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</si>
  <si>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</si>
  <si>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</si>
  <si>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</si>
  <si>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</si>
  <si>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</si>
  <si>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</si>
  <si>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</si>
  <si>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</si>
  <si>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</si>
  <si>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</si>
  <si>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</si>
  <si>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</si>
  <si>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</si>
  <si>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</si>
  <si>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</si>
  <si>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</si>
  <si>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</si>
  <si>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</si>
  <si>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</si>
  <si>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</si>
  <si>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</si>
  <si>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</si>
  <si>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</si>
  <si>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</si>
  <si>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</si>
  <si>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</si>
  <si>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</si>
  <si>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</si>
  <si>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</si>
  <si>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</si>
  <si>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</si>
  <si>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</si>
  <si>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</si>
  <si>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</si>
  <si>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</si>
  <si>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</si>
  <si>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</si>
  <si>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</si>
  <si>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</si>
  <si>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</si>
  <si>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</si>
  <si>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</si>
  <si>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</si>
  <si>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</si>
  <si>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</si>
  <si>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</si>
  <si>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</si>
  <si>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</si>
  <si>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</si>
  <si>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</si>
  <si>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</si>
  <si>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</si>
  <si>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</si>
  <si>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</si>
  <si>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</si>
  <si>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</si>
  <si>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</si>
  <si>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</si>
  <si>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</si>
  <si>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</si>
  <si>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</si>
  <si>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</si>
  <si>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</si>
  <si>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</si>
  <si>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</si>
  <si>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</si>
  <si>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</si>
  <si>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</si>
  <si>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</si>
  <si>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</si>
  <si>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</si>
  <si>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</si>
  <si>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</si>
  <si>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</si>
  <si>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</si>
  <si>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</si>
  <si>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</si>
  <si>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</si>
  <si>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</si>
  <si>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</si>
  <si>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</si>
  <si>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</si>
  <si>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</si>
  <si>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</si>
  <si>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</si>
  <si>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</si>
  <si>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</si>
  <si>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</si>
  <si>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</si>
  <si>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</si>
  <si>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</si>
  <si>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</si>
  <si>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</si>
  <si>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</si>
  <si>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</si>
  <si>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</si>
  <si>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</si>
  <si>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</si>
  <si>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</si>
  <si>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</si>
  <si>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</si>
  <si>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</si>
  <si>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</si>
  <si>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</si>
  <si>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</si>
  <si>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</si>
  <si>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</si>
  <si>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</si>
  <si>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</si>
  <si>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</si>
  <si>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</si>
  <si>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</si>
  <si>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</si>
  <si>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</si>
  <si>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</si>
  <si>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</si>
  <si>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</si>
  <si>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</si>
  <si>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</si>
  <si>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</si>
  <si>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</si>
  <si>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</si>
  <si>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</si>
  <si>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</si>
  <si>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</si>
  <si>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</si>
  <si>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</si>
  <si>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</si>
  <si>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</si>
  <si>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</si>
  <si>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</si>
  <si>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</si>
  <si>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</si>
  <si>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</si>
  <si>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</si>
  <si>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</si>
  <si>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</si>
  <si>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</si>
  <si>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</si>
  <si>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</si>
  <si>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</si>
  <si>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</si>
  <si>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</si>
  <si>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</si>
  <si>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</si>
  <si>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</si>
  <si>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</si>
  <si>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</si>
  <si>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</si>
  <si>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</si>
  <si>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</si>
  <si>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</si>
  <si>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</si>
  <si>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</si>
  <si>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</si>
  <si>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</si>
  <si>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</si>
  <si>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</si>
  <si>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</si>
  <si>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</si>
  <si>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</si>
  <si>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</si>
  <si>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</si>
  <si>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</si>
  <si>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</si>
  <si>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</si>
  <si>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</si>
  <si>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</si>
  <si>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</si>
  <si>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</si>
  <si>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</si>
  <si>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</si>
  <si>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</si>
  <si>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</si>
  <si>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</si>
  <si>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</si>
  <si>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</si>
  <si>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</si>
  <si>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</si>
  <si>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</si>
  <si>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</si>
  <si>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</si>
  <si>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</si>
  <si>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</si>
  <si>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</si>
  <si>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</si>
  <si>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</si>
  <si>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</si>
  <si>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</si>
  <si>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</si>
  <si>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</si>
  <si>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</si>
  <si>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</si>
  <si>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</si>
  <si>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</si>
  <si>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</si>
  <si>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</si>
  <si>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</si>
  <si>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</si>
  <si>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</si>
  <si>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</si>
  <si>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</si>
  <si>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</si>
  <si>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</si>
  <si>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</si>
  <si>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</si>
  <si>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</si>
  <si>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</si>
  <si>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</si>
  <si>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</si>
  <si>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</si>
  <si>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</si>
  <si>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</si>
  <si>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</si>
  <si>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</si>
  <si>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</si>
  <si>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</si>
  <si>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</si>
  <si>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</si>
  <si>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</si>
  <si>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</si>
  <si>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</si>
  <si>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</si>
  <si>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</si>
  <si>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</si>
  <si>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</si>
  <si>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</si>
  <si>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</si>
  <si>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</si>
  <si>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</si>
  <si>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</si>
  <si>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</si>
  <si>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</si>
  <si>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</si>
  <si>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</si>
  <si>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</si>
  <si>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</si>
  <si>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</si>
  <si>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</si>
  <si>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</si>
  <si>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</si>
  <si>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</si>
  <si>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</si>
  <si>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</si>
  <si>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</si>
  <si>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</si>
  <si>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</si>
  <si>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</si>
  <si>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</si>
  <si>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</si>
  <si>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</si>
  <si>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</si>
  <si>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</si>
  <si>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</si>
  <si>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</si>
  <si>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</si>
  <si>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</si>
  <si>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</si>
  <si>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</si>
  <si>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</si>
  <si>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</si>
  <si>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</si>
  <si>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</si>
  <si>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</si>
  <si>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</si>
  <si>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</si>
  <si>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</si>
  <si>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</si>
  <si>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</si>
  <si>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</si>
  <si>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</si>
  <si>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</si>
  <si>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</si>
  <si>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</si>
  <si>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</si>
  <si>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</si>
  <si>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</si>
  <si>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</si>
  <si>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</si>
  <si>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</si>
  <si>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</si>
  <si>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</si>
  <si>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</si>
  <si>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</si>
  <si>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</si>
  <si>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</si>
  <si>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</si>
  <si>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</si>
  <si>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</si>
  <si>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</si>
  <si>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</si>
  <si>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</si>
  <si>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</si>
  <si>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</si>
  <si>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</si>
  <si>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</si>
  <si>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</si>
  <si>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</si>
  <si>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</si>
  <si>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</si>
  <si>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</si>
  <si>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</si>
  <si>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</si>
  <si>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</si>
  <si>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</si>
  <si>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</si>
  <si>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</si>
  <si>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</si>
  <si>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</si>
  <si>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</si>
  <si>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</si>
  <si>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</si>
  <si>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</si>
  <si>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</si>
  <si>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</si>
  <si>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</si>
  <si>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</si>
  <si>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</si>
  <si>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</si>
  <si>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</si>
  <si>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</si>
  <si>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</si>
  <si>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</si>
  <si>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</si>
  <si>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</si>
  <si>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</si>
  <si>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</si>
  <si>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</si>
  <si>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</si>
  <si>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</si>
  <si>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</si>
  <si>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</si>
  <si>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</si>
  <si>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</si>
  <si>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</si>
  <si>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</si>
  <si>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</si>
  <si>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</si>
  <si>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</si>
  <si>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</si>
  <si>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</si>
  <si>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</si>
  <si>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</si>
  <si>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</si>
  <si>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</si>
  <si>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</si>
  <si>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</si>
  <si>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</si>
  <si>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</si>
  <si>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</si>
  <si>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</si>
  <si>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</si>
  <si>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</si>
  <si>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</si>
  <si>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</si>
  <si>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</si>
  <si>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</si>
  <si>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</si>
  <si>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</si>
  <si>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</si>
  <si>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</si>
  <si>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</si>
  <si>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</si>
  <si>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</si>
  <si>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</si>
  <si>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</si>
  <si>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</si>
  <si>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</si>
  <si>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</si>
  <si>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</si>
  <si>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</si>
  <si>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</si>
  <si>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</si>
  <si>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</si>
  <si>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</si>
  <si>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</si>
  <si>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</si>
  <si>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</si>
  <si>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</si>
  <si>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</si>
  <si>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</si>
  <si>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</si>
  <si>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</si>
  <si>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</si>
  <si>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</si>
  <si>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</si>
  <si>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</si>
  <si>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</si>
  <si>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</si>
  <si>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</si>
  <si>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</si>
  <si>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</si>
  <si>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</si>
  <si>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</si>
  <si>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</si>
  <si>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</si>
  <si>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</si>
  <si>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</si>
  <si>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</si>
  <si>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</si>
  <si>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</si>
  <si>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</si>
  <si>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</si>
  <si>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</si>
  <si>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</si>
  <si>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</si>
  <si>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</si>
  <si>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</si>
  <si>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</si>
  <si>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</si>
  <si>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</si>
  <si>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</si>
  <si>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</si>
  <si>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</si>
  <si>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</si>
  <si>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</si>
  <si>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</si>
  <si>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</si>
  <si>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</si>
  <si>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</si>
  <si>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</si>
  <si>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</si>
  <si>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</si>
  <si>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</si>
  <si>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</si>
  <si>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</si>
  <si>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</si>
  <si>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</si>
  <si>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</si>
  <si>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</si>
  <si>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</si>
  <si>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</si>
  <si>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</si>
  <si>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</si>
  <si>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</si>
  <si>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</si>
  <si>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</si>
  <si>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</si>
  <si>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</si>
  <si>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</si>
  <si>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</si>
  <si>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</si>
  <si>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</si>
  <si>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</si>
  <si>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</si>
  <si>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</si>
  <si>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</si>
  <si>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</si>
  <si>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</si>
  <si>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</si>
  <si>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</si>
  <si>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</si>
  <si>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</si>
  <si>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</si>
  <si>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</si>
  <si>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</si>
  <si>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</si>
  <si>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</si>
  <si>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</si>
  <si>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</si>
  <si>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</si>
  <si>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</si>
  <si>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</si>
  <si>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</si>
  <si>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</si>
  <si>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</si>
  <si>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</si>
  <si>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</si>
  <si>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</si>
  <si>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</si>
  <si>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</si>
  <si>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</si>
  <si>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</si>
  <si>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</si>
  <si>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</si>
  <si>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</si>
  <si>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</si>
  <si>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</si>
  <si>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</si>
  <si>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</si>
  <si>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</si>
  <si>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</si>
  <si>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</si>
  <si>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</si>
  <si>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</si>
  <si>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</si>
  <si>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</si>
  <si>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</si>
  <si>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</si>
  <si>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</si>
  <si>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</si>
  <si>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</si>
  <si>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</si>
  <si>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</si>
  <si>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</si>
  <si>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</si>
  <si>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</si>
  <si>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</si>
  <si>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</si>
  <si>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</si>
  <si>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</si>
  <si>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</si>
  <si>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</si>
  <si>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</si>
  <si>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</si>
  <si>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</si>
  <si>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</si>
  <si>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</si>
  <si>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</si>
  <si>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</si>
  <si>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</si>
  <si>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</si>
  <si>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</si>
  <si>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</si>
  <si>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</si>
  <si>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</si>
  <si>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</si>
  <si>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</si>
  <si>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</si>
  <si>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</si>
  <si>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</si>
  <si>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</si>
  <si>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</si>
  <si>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</si>
  <si>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</si>
  <si>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</si>
  <si>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</si>
  <si>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</si>
  <si>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</si>
  <si>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</si>
  <si>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</si>
  <si>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</si>
  <si>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</si>
  <si>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</si>
  <si>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</si>
  <si>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</si>
  <si>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</si>
  <si>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</si>
  <si>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</si>
  <si>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</si>
  <si>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</si>
  <si>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</si>
  <si>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</si>
  <si>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</si>
  <si>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</si>
  <si>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</si>
  <si>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</si>
  <si>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</si>
  <si>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</si>
  <si>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</si>
  <si>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</si>
  <si>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</si>
  <si>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</si>
  <si>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</si>
  <si>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</si>
  <si>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</si>
  <si>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</si>
  <si>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</si>
  <si>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</si>
  <si>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</si>
  <si>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</si>
  <si>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</si>
  <si>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</si>
  <si>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</si>
  <si>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</si>
  <si>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</si>
  <si>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</si>
  <si>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</si>
  <si>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</si>
  <si>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</si>
  <si>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</si>
  <si>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</si>
  <si>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</si>
  <si>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</si>
  <si>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</si>
  <si>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</si>
  <si>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</si>
  <si>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</si>
  <si>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</si>
  <si>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</si>
  <si>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</si>
  <si>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</si>
  <si>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</si>
  <si>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</si>
  <si>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</si>
  <si>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</si>
  <si>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</si>
  <si>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</si>
  <si>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</si>
  <si>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</si>
  <si>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</si>
  <si>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</si>
  <si>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</si>
  <si>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</si>
  <si>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</si>
  <si>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</si>
  <si>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</si>
  <si>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</si>
  <si>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</si>
  <si>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</si>
  <si>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</si>
  <si>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</si>
  <si>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</si>
  <si>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</si>
  <si>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</si>
  <si>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</si>
  <si>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</si>
  <si>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</si>
  <si>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</si>
  <si>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</si>
  <si>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</si>
  <si>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</si>
  <si>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</si>
  <si>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</si>
  <si>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</si>
  <si>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</si>
  <si>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</si>
  <si>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</si>
  <si>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</si>
  <si>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</si>
  <si>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</si>
  <si>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</si>
  <si>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</si>
  <si>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</si>
  <si>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</si>
  <si>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</si>
  <si>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</si>
  <si>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</si>
  <si>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</si>
  <si>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</si>
  <si>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</si>
  <si>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</si>
  <si>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</si>
  <si>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</si>
  <si>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</si>
  <si>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</si>
  <si>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</si>
  <si>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</si>
  <si>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</si>
  <si>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</si>
  <si>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</si>
  <si>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</si>
  <si>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</si>
  <si>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</si>
  <si>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</si>
  <si>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</si>
  <si>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</si>
  <si>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</si>
  <si>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</si>
  <si>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</si>
  <si>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</si>
  <si>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</si>
  <si>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</si>
  <si>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</si>
  <si>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</si>
  <si>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</si>
  <si>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</si>
  <si>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</si>
  <si>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</si>
  <si>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</si>
  <si>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</si>
  <si>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</si>
  <si>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</si>
  <si>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</si>
  <si>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</si>
  <si>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</si>
  <si>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</si>
  <si>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</si>
  <si>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</si>
  <si>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</si>
  <si>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</si>
  <si>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</si>
  <si>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</si>
  <si>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</si>
  <si>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</si>
  <si>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</si>
  <si>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</si>
  <si>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</si>
  <si>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</si>
  <si>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</si>
  <si>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</si>
  <si>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</si>
  <si>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</si>
  <si>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</si>
  <si>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</si>
  <si>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</si>
  <si>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</si>
  <si>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</si>
  <si>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</si>
  <si>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</si>
  <si>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</si>
  <si>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</si>
  <si>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</si>
  <si>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</si>
  <si>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</si>
  <si>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</si>
  <si>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</si>
  <si>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</si>
  <si>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</si>
  <si>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</si>
  <si>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</si>
  <si>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</si>
  <si>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</si>
  <si>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</si>
  <si>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</si>
  <si>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</si>
  <si>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</si>
  <si>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</si>
  <si>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</si>
  <si>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</si>
  <si>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</si>
  <si>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</si>
  <si>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</si>
  <si>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</si>
  <si>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</si>
  <si>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</si>
  <si>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</si>
  <si>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</si>
  <si>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</si>
  <si>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</si>
  <si>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</si>
  <si>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</si>
  <si>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</si>
  <si>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</si>
  <si>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</si>
  <si>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</si>
  <si>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</si>
  <si>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</si>
  <si>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</si>
  <si>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</si>
  <si>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</si>
  <si>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</si>
  <si>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</si>
  <si>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</si>
  <si>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</si>
  <si>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</si>
  <si>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</si>
  <si>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</si>
  <si>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</si>
  <si>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</si>
  <si>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</si>
  <si>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</si>
  <si>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</si>
  <si>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</si>
  <si>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</si>
  <si>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</si>
  <si>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</si>
  <si>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</si>
  <si>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</si>
  <si>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</si>
  <si>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</si>
  <si>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</si>
  <si>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</si>
  <si>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</si>
  <si>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</si>
  <si>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</si>
  <si>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</si>
  <si>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</si>
  <si>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</si>
  <si>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</si>
  <si>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</si>
  <si>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</si>
  <si>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</si>
  <si>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</si>
  <si>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</si>
  <si>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</si>
  <si>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</si>
  <si>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</si>
  <si>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</si>
  <si>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</si>
  <si>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</si>
  <si>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</si>
  <si>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</si>
  <si>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</si>
  <si>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</si>
  <si>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</si>
  <si>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</si>
  <si>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</si>
  <si>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</si>
  <si>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</si>
  <si>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</si>
  <si>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</si>
  <si>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</si>
  <si>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</si>
  <si>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</si>
  <si>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</si>
  <si>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</si>
  <si>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</si>
  <si>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</si>
  <si>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</si>
  <si>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</si>
  <si>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</si>
  <si>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</si>
  <si>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</si>
  <si>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</si>
  <si>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</si>
  <si>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</si>
  <si>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</si>
  <si>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</si>
  <si>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</si>
  <si>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</si>
  <si>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</si>
  <si>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</si>
  <si>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</si>
  <si>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</si>
  <si>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</si>
  <si>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</si>
  <si>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</si>
  <si>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</si>
  <si>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</si>
  <si>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</si>
  <si>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</si>
  <si>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</si>
  <si>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</si>
  <si>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</si>
  <si>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</si>
  <si>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</si>
  <si>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</si>
  <si>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</si>
  <si>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</si>
  <si>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</si>
  <si>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</si>
  <si>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</si>
  <si>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</si>
  <si>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</si>
  <si>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</si>
  <si>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</si>
  <si>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</si>
  <si>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</si>
  <si>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</si>
  <si>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</si>
  <si>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</si>
  <si>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</si>
  <si>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</si>
  <si>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</si>
  <si>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</si>
  <si>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</si>
  <si>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</si>
  <si>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</si>
  <si>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</si>
  <si>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</si>
  <si>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</si>
  <si>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</si>
  <si>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</si>
  <si>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</si>
  <si>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</si>
  <si>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</si>
  <si>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</si>
  <si>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</si>
  <si>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</si>
  <si>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</si>
  <si>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</si>
  <si>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</si>
  <si>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</si>
  <si>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</si>
  <si>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</si>
  <si>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</si>
  <si>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</si>
  <si>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</si>
  <si>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</si>
  <si>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</si>
  <si>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</si>
  <si>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</si>
  <si>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</si>
  <si>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</si>
  <si>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</si>
  <si>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</si>
  <si>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</si>
  <si>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</si>
  <si>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</si>
  <si>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</si>
  <si>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</si>
  <si>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</si>
  <si>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</si>
  <si>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</si>
  <si>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</si>
  <si>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</si>
  <si>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</si>
  <si>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</si>
  <si>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</si>
  <si>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</si>
  <si>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</si>
  <si>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</si>
  <si>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</si>
  <si>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</si>
  <si>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</si>
  <si>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</si>
  <si>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</si>
  <si>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</si>
  <si>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</si>
  <si>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</si>
  <si>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</si>
  <si>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</si>
  <si>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</si>
  <si>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</si>
  <si>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</si>
  <si>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</si>
  <si>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</si>
  <si>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</si>
  <si>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</si>
  <si>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</si>
  <si>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</si>
  <si>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</si>
  <si>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</si>
  <si>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</si>
  <si>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</si>
  <si>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</si>
  <si>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</si>
  <si>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</si>
  <si>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</si>
  <si>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</si>
  <si>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</si>
  <si>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</si>
  <si>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</si>
  <si>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</si>
  <si>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</si>
  <si>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</si>
  <si>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</si>
  <si>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</si>
  <si>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</si>
  <si>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</si>
  <si>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</si>
  <si>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</si>
  <si>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</si>
  <si>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</si>
  <si>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</si>
  <si>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</si>
  <si>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</si>
  <si>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</si>
  <si>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</si>
  <si>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</si>
  <si>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</si>
  <si>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</si>
  <si>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</si>
  <si>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</si>
  <si>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</si>
  <si>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</si>
  <si>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</si>
  <si>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</si>
  <si>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</si>
  <si>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</si>
  <si>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</si>
  <si>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</si>
  <si>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</si>
  <si>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</si>
  <si>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</si>
  <si>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</si>
  <si>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</si>
  <si>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</si>
  <si>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</si>
  <si>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</si>
  <si>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</si>
  <si>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</si>
  <si>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</si>
  <si>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</si>
  <si>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</si>
  <si>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</si>
  <si>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</si>
  <si>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</si>
  <si>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</si>
  <si>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</si>
  <si>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</si>
  <si>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</si>
  <si>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</si>
  <si>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</si>
  <si>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</si>
  <si>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</si>
  <si>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</si>
  <si>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</si>
  <si>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</si>
  <si>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</si>
  <si>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</si>
  <si>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</si>
  <si>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</si>
  <si>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</si>
  <si>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</si>
  <si>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</si>
  <si>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</si>
  <si>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</si>
  <si>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</si>
  <si>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</si>
  <si>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</si>
  <si>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</si>
  <si>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</si>
  <si>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</si>
  <si>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</si>
  <si>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</si>
  <si>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</si>
  <si>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</si>
  <si>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</si>
  <si>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</si>
  <si>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</si>
  <si>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</si>
  <si>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</si>
  <si>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</si>
  <si>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</si>
  <si>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</si>
  <si>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</si>
  <si>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</si>
  <si>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</si>
  <si>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</si>
  <si>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</si>
  <si>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</si>
  <si>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</si>
  <si>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</si>
  <si>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</si>
  <si>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</si>
  <si>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</si>
  <si>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</si>
  <si>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</si>
  <si>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</si>
  <si>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</si>
  <si>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</si>
  <si>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</si>
  <si>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</si>
  <si>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</si>
  <si>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</si>
  <si>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</si>
  <si>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</si>
  <si>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</si>
  <si>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</si>
  <si>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</si>
  <si>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</si>
  <si>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</si>
  <si>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</si>
  <si>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</si>
  <si>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</si>
  <si>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</si>
  <si>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</si>
  <si>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</si>
  <si>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</si>
  <si>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</si>
  <si>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</si>
  <si>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</si>
  <si>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</si>
  <si>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</si>
  <si>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</si>
  <si>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</si>
  <si>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</si>
  <si>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</si>
  <si>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</si>
  <si>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</si>
  <si>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</si>
  <si>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</si>
  <si>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</si>
  <si>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</si>
  <si>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</si>
  <si>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</si>
  <si>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</si>
  <si>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</si>
  <si>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</si>
  <si>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</si>
  <si>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</si>
  <si>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</si>
  <si>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</si>
  <si>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</si>
  <si>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</si>
  <si>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</si>
  <si>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</si>
  <si>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</si>
  <si>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</si>
  <si>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</si>
  <si>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</si>
  <si>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</si>
  <si>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</si>
  <si>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</si>
  <si>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</si>
  <si>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</si>
  <si>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</si>
  <si>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</si>
  <si>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</si>
  <si>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</si>
  <si>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</si>
  <si>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</si>
  <si>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</si>
  <si>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</si>
  <si>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</si>
  <si>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</si>
  <si>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</si>
  <si>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</si>
  <si>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</si>
  <si>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</si>
  <si>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</si>
  <si>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</si>
  <si>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</si>
  <si>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</si>
  <si>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</si>
  <si>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</si>
  <si>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</si>
  <si>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</si>
  <si>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</si>
  <si>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</si>
  <si>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</si>
  <si>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</si>
  <si>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</si>
  <si>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</si>
  <si>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</si>
  <si>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</si>
  <si>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</si>
  <si>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</si>
  <si>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</si>
  <si>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</si>
  <si>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</si>
  <si>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</si>
  <si>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</si>
  <si>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</si>
  <si>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</si>
  <si>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</si>
  <si>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</si>
  <si>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</si>
  <si>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</si>
  <si>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</si>
  <si>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</si>
  <si>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</si>
  <si>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</si>
  <si>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</si>
  <si>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</si>
  <si>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</si>
  <si>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</si>
  <si>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</si>
  <si>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</si>
  <si>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</si>
  <si>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</si>
  <si>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</si>
  <si>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</si>
  <si>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</si>
  <si>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</si>
  <si>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</si>
  <si>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</si>
  <si>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</si>
  <si>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</si>
  <si>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</si>
  <si>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</si>
  <si>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</si>
  <si>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</si>
  <si>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</si>
  <si>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</si>
  <si>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</si>
  <si>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</si>
  <si>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</si>
  <si>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</si>
  <si>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</si>
  <si>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</si>
  <si>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</si>
  <si>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</si>
  <si>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</si>
  <si>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</si>
  <si>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</si>
  <si>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</si>
  <si>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</si>
  <si>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</si>
  <si>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</si>
  <si>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</si>
  <si>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</si>
  <si>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</si>
  <si>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</si>
  <si>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</si>
  <si>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</si>
  <si>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</si>
  <si>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</si>
  <si>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</si>
  <si>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</si>
  <si>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</si>
  <si>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</si>
  <si>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</si>
  <si>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</si>
  <si>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</si>
  <si>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</si>
  <si>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</si>
  <si>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</si>
  <si>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</si>
  <si>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</si>
  <si>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</si>
  <si>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</si>
  <si>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</si>
  <si>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</si>
  <si>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</si>
  <si>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</si>
  <si>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</si>
  <si>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</si>
  <si>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</si>
  <si>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</si>
  <si>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</si>
  <si>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</si>
  <si>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</si>
  <si>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</si>
  <si>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</si>
  <si>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</si>
  <si>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</si>
  <si>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</si>
  <si>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</si>
  <si>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</si>
  <si>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</si>
  <si>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</si>
  <si>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</si>
  <si>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</si>
  <si>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</si>
  <si>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</si>
  <si>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</si>
  <si>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</si>
  <si>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</si>
  <si>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</si>
  <si>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</si>
  <si>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</si>
  <si>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</si>
  <si>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</si>
  <si>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</si>
  <si>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</si>
  <si>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</si>
  <si>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</si>
  <si>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</si>
  <si>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</si>
  <si>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</si>
  <si>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</si>
  <si>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</si>
  <si>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</si>
  <si>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</si>
  <si>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</si>
  <si>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</si>
  <si>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</si>
  <si>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</si>
  <si>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</si>
  <si>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</si>
  <si>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</si>
  <si>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</si>
  <si>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</si>
  <si>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</si>
  <si>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</si>
  <si>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</si>
  <si>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</si>
  <si>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</si>
  <si>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</si>
  <si>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</si>
  <si>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</si>
  <si>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</si>
  <si>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</si>
  <si>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</si>
  <si>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</si>
  <si>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</si>
  <si>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</si>
  <si>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</si>
  <si>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</si>
  <si>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</si>
  <si>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</si>
  <si>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</si>
  <si>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</si>
  <si>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</si>
  <si>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</si>
  <si>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</si>
  <si>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</si>
  <si>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</si>
  <si>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</si>
  <si>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</si>
  <si>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</si>
  <si>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</si>
  <si>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</si>
  <si>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</si>
  <si>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</si>
  <si>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</si>
  <si>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</si>
  <si>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</si>
  <si>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</si>
  <si>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</si>
  <si>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</si>
  <si>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</si>
  <si>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</si>
  <si>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</si>
  <si>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</si>
  <si>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</si>
  <si>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</si>
  <si>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</si>
  <si>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</si>
  <si>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</si>
  <si>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</si>
  <si>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</si>
  <si>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</si>
  <si>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</si>
  <si>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</si>
  <si>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</si>
  <si>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</si>
  <si>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</si>
  <si>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</si>
  <si>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</si>
  <si>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</si>
  <si>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</si>
  <si>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</si>
  <si>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</si>
  <si>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</si>
  <si>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</si>
  <si>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</si>
  <si>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</si>
  <si>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</si>
  <si>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</si>
  <si>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</si>
  <si>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</si>
  <si>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</si>
  <si>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</si>
  <si>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</si>
  <si>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</si>
  <si>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</si>
  <si>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</si>
  <si>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</si>
  <si>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</si>
  <si>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</si>
  <si>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</si>
  <si>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</si>
  <si>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</si>
  <si>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</si>
  <si>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</si>
  <si>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</si>
  <si>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</si>
  <si>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</si>
  <si>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</si>
  <si>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</si>
  <si>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</si>
  <si>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</si>
  <si>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</si>
  <si>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</si>
  <si>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</si>
  <si>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</si>
  <si>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</si>
  <si>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</si>
  <si>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</si>
  <si>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</si>
  <si>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</si>
  <si>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</si>
  <si>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</si>
  <si>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</si>
  <si>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</si>
  <si>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</si>
  <si>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</si>
  <si>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</si>
  <si>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</si>
  <si>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</si>
  <si>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</si>
  <si>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</si>
  <si>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</si>
  <si>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</si>
  <si>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</si>
  <si>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</si>
  <si>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</si>
  <si>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</si>
  <si>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</si>
  <si>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</si>
  <si>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</si>
  <si>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</si>
  <si>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</si>
  <si>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</si>
  <si>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</si>
  <si>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</si>
  <si>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</si>
  <si>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</si>
  <si>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</si>
  <si>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</si>
  <si>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</si>
  <si>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</si>
  <si>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</si>
  <si>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</si>
  <si>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</si>
  <si>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</si>
  <si>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</si>
  <si>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</si>
  <si>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</si>
  <si>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</si>
  <si>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</si>
  <si>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</si>
  <si>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</si>
  <si>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</si>
  <si>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</si>
  <si>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</si>
  <si>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</si>
  <si>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</si>
  <si>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</si>
  <si>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</si>
  <si>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</si>
  <si>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</si>
  <si>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</si>
  <si>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</si>
  <si>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</si>
  <si>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</si>
  <si>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</si>
  <si>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</si>
  <si>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</si>
  <si>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</si>
  <si>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</si>
  <si>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</si>
  <si>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</si>
  <si>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</si>
  <si>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</si>
  <si>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</si>
  <si>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</si>
  <si>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</si>
  <si>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</si>
  <si>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</si>
  <si>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</si>
  <si>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</si>
  <si>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</si>
  <si>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</si>
  <si>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</si>
  <si>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</si>
  <si>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</si>
  <si>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</si>
  <si>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</si>
  <si>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</si>
  <si>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</si>
  <si>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</si>
  <si>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</si>
  <si>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</si>
  <si>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</si>
  <si>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</si>
  <si>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</si>
  <si>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</si>
  <si>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</si>
  <si>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</si>
  <si>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</si>
  <si>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</si>
  <si>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</si>
  <si>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</si>
  <si>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</si>
  <si>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</si>
  <si>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</si>
  <si>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</si>
  <si>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</si>
  <si>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</si>
  <si>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</si>
  <si>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</si>
  <si>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</si>
  <si>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</si>
  <si>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</si>
  <si>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</si>
  <si>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</si>
  <si>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</si>
  <si>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</si>
  <si>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</si>
  <si>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</si>
  <si>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</si>
  <si>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</si>
  <si>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</si>
  <si>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</si>
  <si>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</si>
  <si>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</si>
  <si>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</si>
  <si>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</si>
  <si>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</si>
  <si>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</si>
  <si>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</si>
  <si>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</si>
  <si>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</si>
  <si>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</si>
  <si>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</si>
  <si>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</si>
  <si>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</si>
  <si>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</si>
  <si>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</si>
  <si>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</si>
  <si>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</si>
  <si>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</si>
  <si>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</si>
  <si>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</si>
  <si>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</si>
  <si>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</si>
  <si>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</si>
  <si>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</si>
  <si>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</si>
  <si>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</si>
  <si>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</si>
  <si>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</si>
  <si>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</si>
  <si>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</si>
  <si>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</si>
  <si>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</si>
  <si>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</si>
  <si>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</si>
  <si>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</si>
  <si>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</si>
  <si>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</si>
  <si>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</si>
  <si>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</si>
  <si>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</si>
  <si>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</si>
  <si>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</si>
  <si>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</si>
  <si>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</si>
  <si>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</si>
  <si>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</si>
  <si>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</si>
  <si>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</si>
  <si>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</si>
  <si>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</si>
  <si>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</si>
  <si>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</si>
  <si>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</si>
  <si>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</si>
  <si>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</si>
  <si>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</si>
  <si>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</si>
  <si>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</si>
  <si>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</si>
  <si>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</si>
  <si>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</si>
  <si>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</si>
  <si>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</si>
  <si>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</si>
  <si>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</si>
  <si>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</si>
  <si>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</si>
  <si>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</si>
  <si>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</si>
  <si>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</si>
  <si>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</si>
  <si>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</si>
  <si>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</si>
  <si>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</si>
  <si>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</si>
  <si>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</si>
  <si>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</si>
  <si>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</si>
  <si>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</si>
  <si>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</si>
  <si>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</si>
  <si>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</si>
  <si>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</si>
  <si>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</si>
  <si>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</si>
  <si>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</si>
  <si>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</si>
  <si>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</si>
  <si>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</si>
  <si>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</si>
  <si>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</si>
  <si>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</si>
  <si>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</si>
  <si>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</si>
  <si>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</si>
  <si>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</si>
  <si>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</si>
  <si>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</si>
  <si>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</si>
  <si>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</si>
  <si>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</si>
  <si>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</si>
  <si>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</si>
  <si>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</si>
  <si>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</si>
  <si>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</si>
  <si>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</si>
  <si>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</si>
  <si>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</si>
  <si>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</si>
  <si>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</si>
  <si>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</si>
  <si>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</si>
  <si>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</si>
  <si>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</si>
  <si>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</si>
  <si>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</si>
  <si>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</si>
  <si>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</si>
  <si>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</si>
  <si>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</si>
  <si>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</si>
  <si>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</si>
  <si>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</si>
  <si>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</si>
  <si>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</si>
  <si>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</si>
  <si>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</si>
  <si>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</si>
  <si>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</si>
  <si>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</si>
  <si>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</si>
  <si>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</si>
  <si>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</si>
  <si>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</si>
  <si>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</si>
  <si>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</si>
  <si>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</si>
  <si>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</si>
  <si>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</si>
  <si>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</si>
  <si>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</si>
  <si>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</si>
  <si>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</si>
  <si>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</si>
  <si>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</si>
  <si>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</si>
  <si>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</si>
  <si>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</si>
  <si>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</si>
  <si>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</si>
  <si>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</si>
  <si>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</si>
  <si>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</si>
  <si>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</si>
  <si>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</si>
  <si>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</si>
  <si>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</si>
  <si>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</si>
  <si>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</si>
  <si>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</si>
  <si>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</si>
  <si>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</si>
  <si>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</si>
  <si>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</si>
  <si>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</si>
  <si>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</si>
  <si>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</si>
  <si>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</si>
  <si>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</si>
  <si>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</si>
  <si>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</si>
  <si>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</si>
  <si>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</si>
  <si>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</si>
  <si>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</si>
  <si>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</si>
  <si>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</si>
  <si>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</si>
  <si>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</si>
  <si>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</si>
  <si>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</si>
  <si>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</si>
  <si>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</si>
  <si>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</si>
  <si>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</si>
  <si>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</si>
  <si>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</si>
  <si>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</si>
  <si>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</si>
  <si>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</si>
  <si>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</si>
  <si>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</si>
  <si>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</si>
  <si>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</si>
  <si>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</si>
  <si>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</si>
  <si>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</si>
  <si>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</si>
  <si>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</si>
  <si>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</si>
  <si>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</si>
  <si>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</si>
  <si>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</si>
  <si>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</si>
  <si>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</si>
  <si>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</si>
  <si>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</si>
  <si>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</si>
  <si>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</si>
  <si>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</si>
  <si>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</si>
  <si>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</si>
  <si>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</si>
  <si>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</si>
  <si>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</si>
  <si>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</si>
  <si>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</si>
  <si>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</si>
  <si>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</si>
  <si>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</si>
  <si>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</si>
  <si>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</si>
  <si>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</si>
  <si>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</si>
  <si>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</si>
  <si>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</si>
  <si>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</si>
  <si>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</si>
  <si>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</si>
  <si>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</si>
  <si>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</si>
  <si>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</si>
  <si>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</si>
  <si>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</si>
  <si>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</si>
  <si>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</si>
  <si>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</si>
  <si>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</si>
  <si>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</si>
  <si>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</si>
  <si>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</si>
  <si>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</si>
  <si>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</si>
  <si>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</si>
  <si>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</si>
  <si>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</si>
  <si>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</si>
  <si>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</si>
  <si>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</si>
  <si>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</si>
  <si>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</si>
  <si>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</si>
  <si>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</si>
  <si>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</si>
  <si>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</si>
  <si>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</si>
  <si>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</si>
  <si>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</si>
  <si>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</si>
  <si>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</si>
  <si>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</si>
  <si>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</si>
  <si>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</si>
  <si>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</si>
  <si>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</si>
  <si>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</si>
  <si>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</si>
  <si>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</si>
  <si>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</si>
  <si>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</si>
  <si>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</si>
  <si>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</si>
  <si>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</si>
  <si>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</si>
  <si>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</si>
  <si>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</si>
  <si>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</si>
  <si>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</si>
  <si>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</si>
  <si>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</si>
  <si>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</si>
  <si>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</si>
  <si>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</si>
  <si>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</si>
  <si>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</si>
  <si>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</si>
  <si>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</si>
  <si>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</si>
  <si>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</si>
  <si>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</si>
  <si>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</si>
  <si>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</si>
  <si>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</si>
  <si>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</si>
  <si>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</si>
  <si>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</si>
  <si>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</si>
  <si>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</si>
  <si>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</si>
  <si>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</si>
  <si>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</si>
  <si>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</si>
  <si>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</si>
  <si>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</si>
  <si>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</si>
  <si>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</si>
  <si>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</si>
  <si>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</si>
  <si>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</si>
  <si>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</si>
  <si>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</si>
  <si>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</si>
  <si>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</si>
  <si>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</si>
  <si>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</si>
  <si>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</si>
  <si>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</si>
  <si>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</si>
  <si>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</si>
  <si>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</si>
  <si>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</si>
  <si>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</si>
  <si>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</si>
  <si>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</si>
  <si>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</si>
  <si>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</si>
  <si>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</si>
  <si>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</si>
  <si>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</si>
  <si>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</si>
  <si>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</si>
  <si>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</si>
  <si>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</si>
  <si>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</si>
  <si>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</si>
  <si>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</si>
  <si>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</si>
  <si>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</si>
  <si>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</si>
  <si>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</si>
  <si>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</si>
  <si>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</si>
  <si>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</si>
  <si>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</si>
  <si>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</si>
  <si>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</si>
  <si>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</si>
  <si>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</si>
  <si>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</si>
  <si>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</si>
  <si>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</si>
  <si>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</si>
  <si>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</si>
  <si>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</si>
  <si>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</si>
  <si>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</si>
  <si>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</si>
  <si>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</si>
  <si>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</si>
  <si>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</si>
  <si>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</si>
  <si>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</si>
  <si>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</si>
  <si>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</si>
  <si>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</si>
  <si>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</si>
  <si>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</si>
  <si>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</si>
  <si>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</si>
  <si>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</si>
  <si>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</si>
  <si>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</si>
  <si>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</si>
  <si>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</si>
  <si>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</si>
  <si>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</si>
  <si>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</si>
  <si>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</si>
  <si>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</si>
  <si>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</si>
  <si>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</si>
  <si>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</si>
  <si>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</si>
  <si>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</si>
  <si>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</si>
  <si>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</si>
  <si>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</si>
  <si>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</si>
  <si>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</si>
  <si>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</si>
  <si>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</si>
  <si>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</si>
  <si>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</si>
  <si>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</si>
  <si>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</si>
  <si>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</si>
  <si>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</si>
  <si>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</si>
  <si>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</si>
  <si>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</si>
  <si>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</si>
  <si>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</si>
  <si>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</si>
  <si>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</si>
  <si>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</si>
  <si>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</si>
  <si>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</si>
  <si>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</si>
  <si>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</si>
  <si>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</si>
  <si>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</si>
  <si>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</si>
  <si>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</si>
  <si>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</si>
  <si>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</si>
  <si>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</si>
  <si>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</si>
  <si>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</si>
  <si>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</si>
  <si>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</si>
  <si>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</si>
  <si>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</si>
  <si>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</si>
  <si>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</si>
  <si>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</si>
  <si>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</si>
  <si>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</si>
  <si>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</si>
  <si>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</si>
  <si>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</si>
  <si>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</si>
  <si>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</si>
  <si>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</si>
  <si>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</si>
  <si>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</si>
  <si>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</si>
  <si>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</si>
  <si>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</si>
  <si>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</si>
  <si>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</si>
  <si>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</si>
  <si>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</si>
  <si>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</si>
  <si>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</si>
  <si>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</si>
  <si>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</si>
  <si>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</si>
  <si>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</si>
  <si>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</si>
  <si>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</si>
  <si>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</si>
  <si>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</si>
  <si>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</si>
  <si>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</si>
  <si>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</si>
  <si>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</si>
  <si>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</si>
  <si>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</si>
  <si>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</si>
  <si>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</si>
  <si>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</si>
  <si>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</si>
  <si>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</si>
  <si>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</si>
  <si>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</si>
  <si>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</si>
  <si>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</si>
  <si>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</si>
  <si>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</si>
  <si>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</si>
  <si>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</si>
  <si>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</si>
  <si>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</si>
  <si>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</si>
  <si>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</si>
  <si>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</si>
  <si>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</si>
  <si>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</si>
  <si>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</si>
  <si>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</si>
  <si>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</si>
  <si>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</si>
  <si>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</si>
  <si>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</si>
  <si>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</si>
  <si>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</si>
  <si>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</si>
  <si>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</si>
  <si>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</si>
  <si>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</si>
  <si>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</si>
  <si>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</si>
  <si>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</si>
  <si>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</si>
  <si>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</si>
  <si>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</si>
  <si>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</si>
  <si>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</si>
  <si>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</si>
  <si>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</si>
  <si>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</si>
  <si>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</si>
  <si>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</si>
  <si>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</si>
  <si>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</si>
  <si>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</si>
  <si>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</si>
  <si>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</si>
  <si>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</si>
  <si>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</si>
  <si>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</si>
  <si>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</si>
  <si>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</si>
  <si>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</si>
  <si>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</si>
  <si>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</si>
  <si>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</si>
  <si>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</si>
  <si>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</si>
  <si>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</si>
  <si>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</si>
  <si>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</si>
  <si>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</si>
  <si>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</si>
  <si>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</si>
  <si>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</si>
  <si>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</si>
  <si>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</si>
  <si>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</si>
  <si>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</si>
  <si>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</si>
  <si>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</si>
  <si>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</si>
  <si>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</si>
  <si>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</si>
  <si>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</si>
  <si>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</si>
  <si>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</si>
  <si>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</si>
  <si>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</si>
  <si>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</si>
  <si>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</si>
  <si>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</si>
  <si>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</si>
  <si>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</si>
  <si>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</si>
  <si>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</si>
  <si>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</si>
  <si>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</si>
  <si>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</si>
  <si>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</si>
  <si>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</si>
  <si>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</si>
  <si>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</si>
  <si>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</si>
  <si>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</si>
  <si>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</si>
  <si>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</si>
  <si>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</si>
  <si>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</si>
  <si>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</si>
  <si>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</si>
  <si>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</si>
  <si>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</si>
  <si>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</si>
  <si>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</si>
  <si>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</si>
  <si>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</si>
  <si>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</si>
  <si>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</si>
  <si>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</si>
  <si>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</si>
  <si>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</si>
  <si>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</si>
  <si>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</si>
  <si>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</si>
  <si>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</si>
  <si>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</si>
  <si>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</si>
  <si>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</si>
  <si>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</si>
  <si>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</si>
  <si>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</si>
  <si>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</si>
  <si>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</si>
  <si>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</si>
  <si>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</si>
  <si>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</si>
  <si>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</si>
  <si>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</si>
  <si>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</si>
  <si>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</si>
  <si>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</si>
  <si>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</si>
  <si>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</si>
  <si>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</si>
  <si>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</si>
  <si>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</si>
  <si>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</si>
  <si>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</si>
  <si>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</si>
  <si>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</si>
  <si>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</si>
  <si>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</si>
  <si>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</si>
  <si>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</si>
  <si>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</si>
  <si>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</si>
  <si>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</si>
  <si>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</si>
  <si>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</si>
  <si>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</si>
  <si>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</si>
  <si>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</si>
  <si>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</si>
  <si>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</si>
  <si>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</si>
  <si>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</si>
  <si>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</si>
  <si>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</si>
  <si>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</si>
  <si>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</si>
  <si>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</si>
  <si>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</si>
  <si>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</si>
  <si>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</si>
  <si>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</si>
  <si>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</si>
  <si>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</si>
  <si>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</si>
  <si>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</si>
  <si>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</si>
  <si>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</si>
  <si>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</si>
  <si>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</si>
  <si>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</si>
  <si>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</si>
  <si>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</si>
  <si>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</si>
  <si>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</si>
  <si>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</si>
  <si>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</si>
  <si>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</si>
  <si>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</si>
  <si>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</si>
  <si>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</si>
  <si>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</si>
  <si>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</si>
  <si>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</si>
  <si>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</si>
  <si>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</si>
  <si>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</si>
  <si>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</si>
  <si>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</si>
  <si>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</si>
  <si>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</si>
  <si>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</si>
  <si>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</si>
  <si>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</si>
  <si>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</si>
  <si>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</si>
  <si>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</si>
  <si>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</si>
  <si>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</si>
  <si>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</si>
  <si>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</si>
  <si>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</si>
  <si>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</si>
  <si>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</si>
  <si>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</si>
  <si>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</si>
  <si>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</si>
  <si>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</si>
  <si>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</si>
  <si>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</si>
  <si>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</si>
  <si>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</si>
  <si>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</si>
  <si>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</si>
  <si>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</si>
  <si>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</si>
  <si>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</si>
  <si>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</si>
  <si>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</si>
  <si>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</si>
  <si>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</si>
  <si>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</si>
  <si>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</si>
  <si>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</si>
  <si>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</si>
  <si>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</si>
  <si>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</si>
  <si>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</si>
  <si>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</si>
  <si>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</si>
  <si>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</si>
  <si>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</si>
  <si>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</si>
  <si>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</si>
  <si>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</si>
  <si>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</si>
  <si>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</si>
  <si>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</si>
  <si>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</si>
  <si>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</si>
  <si>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</si>
  <si>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</si>
  <si>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</si>
  <si>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</si>
  <si>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</si>
  <si>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</si>
  <si>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</si>
  <si>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</si>
  <si>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</si>
  <si>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</si>
  <si>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</si>
  <si>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</si>
  <si>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</si>
  <si>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</si>
  <si>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</si>
  <si>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</si>
  <si>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</si>
  <si>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</si>
  <si>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</si>
  <si>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</si>
  <si>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</si>
  <si>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</si>
  <si>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</si>
  <si>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</si>
  <si>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</si>
  <si>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</si>
  <si>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</si>
  <si>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</si>
  <si>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</si>
  <si>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</si>
  <si>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</si>
  <si>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</si>
  <si>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</si>
  <si>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</si>
  <si>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</si>
  <si>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</si>
  <si>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</si>
  <si>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</si>
  <si>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</si>
  <si>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</si>
  <si>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</si>
  <si>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</si>
  <si>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</si>
  <si>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</si>
  <si>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</si>
  <si>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</si>
  <si>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</si>
  <si>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</si>
  <si>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</si>
  <si>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</si>
  <si>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</si>
  <si>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</si>
  <si>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</si>
  <si>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</si>
  <si>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</si>
  <si>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</si>
  <si>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</si>
  <si>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</si>
  <si>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</si>
  <si>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</si>
  <si>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</si>
  <si>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</si>
  <si>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</si>
  <si>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</si>
  <si>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</si>
  <si>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</si>
  <si>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</si>
  <si>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</si>
  <si>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</si>
  <si>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</si>
  <si>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</si>
  <si>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</si>
  <si>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</si>
  <si>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</si>
  <si>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</si>
  <si>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</si>
  <si>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</si>
  <si>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</si>
  <si>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</si>
  <si>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</si>
  <si>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</si>
  <si>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</si>
  <si>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</si>
  <si>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</si>
  <si>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</si>
  <si>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</si>
  <si>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</si>
  <si>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</si>
  <si>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</si>
  <si>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</si>
  <si>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</si>
  <si>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</si>
  <si>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</si>
  <si>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</si>
  <si>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</si>
  <si>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</si>
  <si>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</si>
  <si>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</si>
  <si>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</si>
  <si>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</si>
  <si>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</si>
  <si>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</si>
  <si>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</si>
  <si>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</si>
  <si>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</si>
  <si>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</si>
  <si>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</si>
  <si>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</si>
  <si>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</si>
  <si>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</si>
  <si>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</si>
  <si>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</si>
  <si>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</si>
  <si>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</si>
  <si>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</si>
  <si>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</si>
  <si>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</si>
  <si>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</si>
  <si>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</si>
  <si>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</si>
  <si>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</si>
  <si>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</si>
  <si>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</si>
  <si>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</si>
  <si>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</si>
  <si>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</si>
  <si>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</si>
  <si>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</si>
  <si>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</si>
  <si>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</si>
  <si>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</si>
  <si>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</si>
  <si>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</si>
  <si>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</si>
  <si>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</si>
  <si>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</si>
  <si>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</si>
  <si>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</si>
  <si>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</si>
  <si>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</si>
  <si>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</si>
  <si>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</si>
  <si>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</si>
  <si>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</si>
  <si>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</si>
  <si>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</si>
  <si>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</si>
  <si>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</si>
  <si>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</si>
  <si>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</si>
  <si>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</si>
  <si>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</si>
  <si>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</si>
  <si>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</si>
  <si>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</si>
  <si>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</si>
  <si>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</si>
  <si>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</si>
  <si>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</si>
  <si>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</si>
  <si>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</si>
  <si>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</si>
  <si>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</si>
  <si>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</si>
  <si>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</si>
  <si>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</si>
  <si>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</si>
  <si>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</si>
  <si>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</si>
  <si>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</si>
  <si>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</si>
  <si>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</si>
  <si>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</si>
  <si>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</si>
  <si>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</si>
  <si>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</si>
  <si>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</si>
  <si>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</si>
  <si>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</si>
  <si>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</si>
  <si>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</si>
  <si>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</si>
  <si>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</si>
  <si>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</si>
  <si>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</si>
  <si>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</si>
  <si>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</si>
  <si>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</si>
  <si>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</si>
  <si>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</si>
  <si>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</si>
  <si>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</si>
  <si>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</si>
  <si>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</si>
  <si>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</si>
  <si>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</si>
  <si>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</si>
  <si>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</si>
  <si>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</si>
  <si>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</si>
  <si>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</si>
  <si>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</si>
  <si>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</si>
  <si>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</si>
  <si>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</si>
  <si>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</si>
  <si>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</si>
  <si>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</si>
  <si>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</si>
  <si>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</si>
  <si>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</si>
  <si>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</si>
  <si>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</si>
  <si>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</si>
  <si>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</si>
  <si>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</si>
  <si>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</si>
  <si>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</si>
  <si>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</si>
  <si>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</si>
  <si>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</si>
  <si>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</si>
  <si>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</si>
  <si>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</si>
  <si>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</si>
  <si>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</si>
  <si>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</si>
  <si>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</si>
  <si>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</si>
  <si>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</si>
  <si>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</si>
  <si>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</si>
  <si>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</si>
  <si>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</si>
  <si>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</si>
  <si>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</si>
  <si>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</si>
  <si>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</si>
  <si>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</si>
  <si>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</si>
  <si>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</si>
  <si>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</si>
  <si>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</si>
  <si>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</si>
  <si>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</si>
  <si>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</si>
  <si>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</si>
  <si>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</si>
  <si>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</si>
  <si>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</si>
  <si>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</si>
  <si>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</si>
  <si>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</si>
  <si>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</si>
  <si>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</si>
  <si>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</si>
  <si>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</si>
  <si>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</si>
  <si>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</si>
  <si>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</si>
  <si>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</si>
  <si>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</si>
  <si>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</si>
  <si>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</si>
  <si>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</si>
  <si>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</si>
  <si>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</si>
  <si>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</si>
  <si>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</si>
  <si>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</si>
  <si>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</si>
  <si>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</si>
  <si>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</si>
  <si>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</si>
  <si>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</si>
  <si>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</si>
  <si>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</si>
  <si>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</si>
  <si>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</si>
  <si>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</si>
  <si>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</si>
  <si>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</si>
  <si>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</si>
  <si>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</si>
  <si>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</si>
  <si>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</si>
  <si>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</si>
  <si>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</si>
  <si>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</si>
  <si>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</si>
  <si>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</si>
  <si>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</si>
  <si>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</si>
  <si>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</si>
  <si>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</si>
  <si>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</si>
  <si>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</si>
  <si>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</si>
  <si>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</si>
  <si>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</si>
  <si>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</si>
  <si>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</si>
  <si>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</si>
  <si>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</si>
  <si>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</si>
  <si>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</si>
  <si>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</si>
  <si>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</si>
  <si>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</si>
  <si>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</si>
  <si>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</si>
  <si>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</si>
  <si>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</si>
  <si>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</si>
  <si>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</si>
  <si>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</si>
  <si>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</si>
  <si>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</si>
  <si>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</si>
  <si>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</si>
  <si>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</si>
  <si>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</si>
  <si>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</si>
  <si>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</si>
  <si>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</si>
  <si>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</si>
  <si>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</si>
  <si>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</si>
  <si>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</si>
  <si>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</si>
  <si>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</si>
  <si>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</si>
  <si>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</si>
  <si>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</si>
  <si>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</si>
  <si>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</si>
  <si>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</si>
  <si>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</si>
  <si>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</si>
  <si>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</si>
  <si>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</si>
  <si>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</si>
  <si>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</si>
  <si>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</si>
  <si>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</si>
  <si>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</si>
  <si>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</si>
  <si>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</si>
  <si>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</si>
  <si>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</si>
  <si>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</si>
  <si>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</si>
  <si>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</si>
  <si>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</si>
  <si>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</si>
  <si>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</si>
  <si>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</si>
  <si>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</si>
  <si>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</si>
  <si>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</si>
  <si>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</si>
  <si>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</si>
  <si>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</si>
  <si>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</si>
  <si>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</si>
  <si>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</si>
  <si>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</si>
  <si>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</si>
  <si>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</si>
  <si>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</si>
  <si>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</si>
  <si>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</si>
  <si>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</si>
  <si>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</si>
  <si>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</si>
  <si>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</si>
  <si>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</si>
  <si>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</si>
  <si>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</si>
  <si>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</si>
  <si>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</si>
  <si>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</si>
  <si>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</si>
  <si>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</si>
  <si>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</si>
  <si>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</si>
  <si>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</si>
  <si>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</si>
  <si>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</si>
  <si>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</si>
  <si>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</si>
  <si>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</si>
  <si>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</si>
  <si>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</si>
  <si>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</si>
  <si>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</si>
  <si>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</si>
  <si>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</si>
  <si>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</si>
  <si>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</si>
  <si>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</si>
  <si>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</si>
  <si>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</si>
  <si>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</si>
  <si>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</si>
  <si>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</si>
  <si>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</si>
  <si>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</si>
  <si>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</si>
  <si>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</si>
  <si>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</si>
  <si>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</si>
  <si>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</si>
  <si>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</si>
  <si>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</si>
  <si>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</si>
  <si>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</si>
  <si>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</si>
  <si>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</si>
  <si>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</si>
  <si>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</si>
  <si>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</si>
  <si>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</si>
  <si>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</si>
  <si>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</si>
  <si>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</si>
  <si>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</si>
  <si>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</si>
  <si>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</si>
  <si>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</si>
  <si>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</si>
  <si>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</si>
  <si>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</si>
  <si>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</si>
  <si>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</si>
  <si>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</si>
  <si>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</si>
  <si>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</si>
  <si>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</si>
  <si>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</si>
  <si>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</si>
  <si>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</si>
  <si>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</si>
  <si>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</si>
  <si>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</si>
  <si>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</si>
  <si>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</si>
  <si>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</si>
  <si>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</si>
  <si>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</si>
  <si>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</si>
  <si>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</si>
  <si>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</si>
  <si>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</si>
  <si>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</si>
  <si>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</si>
  <si>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</si>
  <si>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</si>
  <si>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</si>
  <si>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</si>
  <si>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</si>
  <si>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</si>
  <si>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</si>
  <si>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</si>
  <si>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</si>
  <si>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</si>
  <si>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</si>
  <si>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</si>
  <si>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</si>
  <si>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</si>
  <si>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</si>
  <si>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</si>
  <si>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</si>
  <si>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</si>
  <si>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</si>
  <si>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</si>
  <si>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</si>
  <si>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</si>
  <si>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</si>
  <si>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</si>
  <si>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</si>
  <si>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</si>
  <si>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</si>
  <si>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</si>
  <si>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</si>
  <si>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</si>
  <si>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</si>
  <si>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</si>
  <si>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</si>
  <si>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</si>
  <si>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</si>
  <si>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</si>
  <si>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</si>
  <si>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</si>
  <si>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</si>
  <si>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</si>
  <si>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</si>
  <si>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</si>
  <si>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</si>
  <si>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</si>
  <si>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</si>
  <si>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</si>
  <si>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</si>
  <si>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</si>
  <si>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</si>
  <si>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</si>
  <si>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</si>
  <si>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</si>
  <si>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</si>
  <si>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</si>
  <si>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</si>
  <si>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</si>
  <si>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</si>
  <si>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</si>
  <si>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</si>
  <si>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</si>
  <si>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</si>
  <si>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</si>
  <si>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</si>
  <si>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</si>
  <si>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</si>
  <si>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</si>
  <si>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</si>
  <si>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</si>
  <si>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</si>
  <si>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</si>
  <si>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</si>
  <si>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</si>
  <si>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</si>
  <si>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</si>
  <si>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</si>
  <si>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</si>
  <si>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</si>
  <si>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</si>
  <si>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</si>
  <si>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</si>
  <si>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</si>
  <si>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</si>
  <si>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</si>
  <si>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</si>
  <si>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</si>
  <si>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</si>
  <si>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</si>
  <si>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</si>
  <si>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</si>
  <si>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</si>
  <si>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</si>
  <si>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</si>
  <si>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</si>
  <si>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</si>
  <si>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</si>
  <si>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</si>
  <si>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</si>
  <si>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</si>
  <si>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</si>
  <si>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</si>
  <si>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</si>
  <si>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</si>
  <si>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</si>
  <si>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</si>
  <si>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</si>
  <si>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</si>
  <si>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</si>
  <si>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</si>
  <si>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</si>
  <si>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</si>
  <si>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</si>
  <si>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</si>
  <si>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</si>
  <si>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</si>
  <si>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</si>
  <si>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</si>
  <si>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</si>
  <si>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</si>
  <si>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</si>
  <si>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</si>
  <si>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</si>
  <si>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</si>
  <si>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</si>
  <si>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</si>
  <si>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</si>
  <si>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</si>
  <si>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</si>
  <si>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</si>
  <si>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</si>
  <si>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</si>
  <si>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</si>
  <si>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</si>
  <si>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</si>
  <si>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</si>
  <si>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</si>
  <si>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</si>
  <si>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</si>
  <si>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</si>
  <si>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</si>
  <si>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</si>
  <si>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</si>
  <si>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</si>
  <si>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</si>
  <si>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</si>
  <si>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</si>
  <si>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</si>
  <si>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</si>
  <si>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</si>
  <si>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</si>
  <si>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</si>
  <si>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</si>
  <si>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</si>
  <si>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</si>
  <si>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</si>
  <si>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</si>
  <si>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</si>
  <si>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</si>
  <si>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</si>
  <si>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</si>
  <si>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</si>
  <si>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</si>
  <si>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</si>
  <si>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</si>
  <si>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</si>
  <si>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</si>
  <si>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</si>
  <si>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</si>
  <si>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</si>
  <si>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</si>
  <si>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</si>
  <si>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</si>
  <si>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</si>
  <si>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</si>
  <si>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</si>
  <si>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</si>
  <si>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</si>
  <si>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</si>
  <si>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</si>
  <si>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</si>
  <si>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</si>
  <si>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</si>
  <si>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</si>
  <si>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</si>
  <si>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</si>
  <si>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</si>
  <si>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</si>
  <si>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</si>
  <si>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</si>
  <si>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</si>
  <si>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</si>
  <si>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</si>
  <si>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</si>
  <si>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</si>
  <si>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</si>
  <si>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</si>
  <si>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</si>
  <si>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</si>
  <si>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</si>
  <si>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</si>
  <si>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</si>
  <si>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</si>
  <si>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</si>
  <si>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</si>
  <si>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</si>
  <si>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</si>
  <si>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</si>
  <si>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</si>
  <si>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</si>
  <si>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</si>
  <si>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</si>
  <si>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</si>
  <si>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</si>
  <si>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</si>
  <si>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</si>
  <si>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</si>
  <si>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</si>
  <si>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</si>
  <si>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</si>
  <si>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</si>
  <si>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</si>
  <si>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</si>
  <si>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</si>
  <si>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</si>
  <si>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</si>
  <si>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</si>
  <si>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</si>
  <si>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</si>
  <si>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</si>
  <si>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</si>
  <si>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</si>
  <si>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</si>
  <si>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</si>
  <si>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</si>
  <si>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</si>
  <si>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</si>
  <si>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</si>
  <si>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</si>
  <si>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</si>
  <si>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</si>
  <si>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</si>
  <si>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</si>
  <si>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</si>
  <si>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</si>
  <si>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</si>
  <si>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</si>
  <si>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</si>
  <si>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</si>
  <si>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</si>
  <si>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</si>
  <si>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</si>
  <si>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</si>
  <si>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</si>
  <si>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</si>
  <si>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</si>
  <si>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</si>
  <si>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</si>
  <si>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</si>
  <si>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</si>
  <si>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</si>
  <si>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</si>
  <si>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</si>
  <si>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</si>
  <si>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</si>
  <si>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</si>
  <si>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</si>
  <si>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</si>
  <si>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</si>
  <si>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</si>
  <si>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</si>
  <si>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</si>
  <si>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</si>
  <si>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</si>
  <si>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</si>
  <si>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</si>
  <si>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</si>
  <si>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</si>
  <si>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</si>
  <si>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</si>
  <si>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</si>
  <si>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</si>
  <si>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</si>
  <si>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</si>
  <si>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</si>
  <si>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</si>
  <si>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</si>
  <si>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</si>
  <si>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</si>
  <si>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</si>
  <si>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</si>
  <si>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</si>
  <si>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</si>
  <si>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</si>
  <si>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</si>
  <si>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</si>
  <si>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</si>
  <si>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</si>
  <si>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</si>
  <si>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</si>
  <si>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</si>
  <si>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</si>
  <si>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</si>
  <si>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</si>
  <si>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</si>
  <si>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</si>
  <si>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</si>
  <si>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</si>
  <si>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</si>
  <si>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</si>
  <si>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</si>
  <si>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</si>
  <si>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</si>
  <si>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</si>
  <si>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</si>
  <si>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</si>
  <si>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</si>
  <si>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</si>
  <si>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</si>
  <si>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</si>
  <si>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</si>
  <si>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</si>
  <si>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</si>
  <si>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</si>
  <si>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</si>
  <si>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</si>
  <si>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</si>
  <si>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</si>
  <si>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</si>
  <si>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</si>
  <si>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</si>
  <si>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</si>
  <si>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</si>
  <si>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</si>
  <si>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</si>
  <si>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</si>
  <si>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</si>
  <si>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</si>
  <si>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</si>
  <si>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</si>
  <si>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</si>
  <si>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</si>
  <si>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</si>
  <si>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</si>
  <si>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</si>
  <si>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</si>
  <si>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</si>
  <si>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</si>
  <si>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</si>
  <si>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</si>
  <si>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</si>
  <si>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</si>
  <si>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</si>
  <si>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</si>
  <si>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</si>
  <si>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</si>
  <si>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</si>
  <si>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</si>
  <si>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</si>
  <si>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</si>
  <si>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</si>
  <si>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</si>
  <si>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</si>
  <si>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</si>
  <si>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</si>
  <si>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</si>
  <si>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</si>
  <si>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</si>
  <si>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</si>
  <si>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</si>
  <si>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</si>
  <si>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</si>
  <si>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</si>
  <si>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</si>
  <si>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</si>
  <si>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</si>
  <si>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</si>
  <si>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</si>
  <si>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</si>
  <si>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</si>
  <si>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</si>
  <si>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</si>
  <si>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</si>
  <si>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</si>
  <si>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</si>
  <si>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</si>
  <si>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</si>
  <si>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</si>
  <si>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</si>
  <si>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</si>
  <si>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</si>
  <si>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</si>
  <si>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</si>
  <si>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</si>
  <si>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</si>
  <si>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</si>
  <si>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</si>
  <si>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</si>
  <si>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</si>
  <si>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</si>
  <si>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</si>
  <si>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</si>
  <si>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</si>
  <si>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</si>
  <si>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</si>
  <si>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</si>
  <si>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</si>
  <si>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</si>
  <si>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</si>
  <si>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</si>
  <si>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</si>
  <si>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</si>
  <si>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</si>
  <si>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</si>
  <si>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</si>
  <si>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</si>
  <si>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</si>
  <si>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</si>
  <si>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</si>
  <si>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</si>
  <si>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</si>
  <si>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</si>
  <si>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</si>
  <si>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</si>
  <si>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</si>
  <si>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</si>
  <si>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</si>
  <si>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</si>
  <si>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</si>
  <si>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</si>
  <si>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</si>
  <si>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</si>
  <si>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</si>
  <si>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</si>
  <si>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</si>
  <si>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</si>
  <si>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</si>
  <si>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</si>
  <si>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</si>
  <si>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</si>
  <si>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</si>
  <si>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</si>
  <si>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</si>
  <si>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</si>
  <si>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</si>
  <si>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</si>
  <si>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</si>
  <si>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</si>
  <si>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</si>
  <si>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</si>
  <si>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</si>
  <si>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</si>
  <si>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</si>
  <si>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</si>
  <si>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</si>
  <si>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</si>
  <si>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</si>
  <si>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</si>
  <si>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</si>
  <si>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</si>
  <si>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</si>
  <si>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</si>
  <si>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</si>
  <si>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</si>
  <si>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</si>
  <si>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</si>
  <si>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</si>
  <si>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</si>
  <si>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</si>
  <si>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</si>
  <si>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</si>
  <si>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</si>
  <si>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</si>
  <si>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</si>
  <si>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</si>
  <si>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</si>
  <si>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</si>
  <si>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</si>
  <si>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</si>
  <si>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</si>
  <si>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</si>
  <si>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</si>
  <si>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</si>
  <si>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</si>
  <si>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</si>
  <si>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</si>
  <si>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</si>
  <si>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</si>
  <si>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</si>
  <si>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</si>
  <si>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</si>
  <si>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</si>
  <si>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</si>
  <si>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</si>
  <si>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</si>
  <si>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</si>
  <si>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</si>
  <si>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</si>
  <si>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</si>
  <si>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</si>
  <si>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</si>
  <si>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</si>
  <si>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</si>
  <si>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</si>
  <si>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</si>
  <si>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</si>
  <si>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</si>
  <si>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</si>
  <si>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</si>
  <si>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</si>
  <si>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</si>
  <si>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</si>
  <si>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</si>
  <si>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</si>
  <si>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</si>
  <si>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</si>
  <si>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</si>
  <si>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</si>
  <si>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</si>
  <si>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</si>
  <si>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</si>
  <si>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</si>
  <si>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</si>
  <si>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</si>
  <si>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</si>
  <si>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</si>
  <si>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</si>
  <si>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</si>
  <si>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</si>
  <si>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</si>
  <si>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</si>
  <si>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</si>
  <si>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</si>
  <si>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</si>
  <si>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</si>
  <si>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</si>
  <si>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</si>
  <si>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</si>
  <si>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</si>
  <si>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</si>
  <si>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</si>
  <si>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</si>
  <si>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</si>
  <si>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</si>
  <si>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</si>
  <si>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</si>
  <si>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</si>
  <si>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</si>
  <si>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</si>
  <si>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</si>
  <si>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</si>
  <si>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</si>
  <si>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</si>
  <si>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</si>
  <si>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</si>
  <si>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</si>
  <si>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</si>
  <si>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</si>
  <si>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</si>
  <si>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</si>
  <si>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</si>
  <si>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</si>
  <si>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</si>
  <si>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</si>
  <si>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</si>
  <si>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</si>
  <si>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</si>
  <si>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</si>
  <si>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</si>
  <si>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</si>
  <si>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</si>
  <si>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</si>
  <si>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</si>
  <si>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</si>
  <si>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</si>
  <si>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</si>
  <si>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</si>
  <si>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</si>
  <si>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</si>
  <si>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</si>
  <si>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</si>
  <si>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</si>
  <si>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</si>
  <si>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</si>
  <si>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</si>
  <si>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</si>
  <si>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</si>
  <si>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</si>
  <si>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</si>
  <si>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</si>
  <si>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</si>
  <si>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</si>
  <si>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</si>
  <si>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</si>
  <si>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</si>
  <si>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</si>
  <si>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</si>
  <si>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</si>
  <si>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</si>
  <si>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</si>
  <si>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</si>
  <si>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</si>
  <si>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</si>
  <si>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</si>
  <si>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</si>
  <si>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</si>
  <si>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</si>
  <si>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</si>
  <si>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</si>
  <si>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</si>
  <si>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</si>
  <si>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</si>
  <si>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</si>
  <si>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</si>
  <si>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</si>
  <si>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</si>
  <si>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</si>
  <si>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</si>
  <si>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</si>
  <si>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</si>
  <si>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</si>
  <si>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</si>
  <si>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</si>
  <si>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</si>
  <si>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</si>
  <si>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</si>
  <si>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</si>
  <si>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</si>
  <si>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</si>
  <si>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</si>
  <si>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</si>
  <si>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</si>
  <si>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</si>
  <si>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</si>
  <si>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</si>
  <si>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</si>
  <si>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</si>
  <si>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</si>
  <si>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</si>
  <si>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</si>
  <si>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</si>
  <si>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</si>
  <si>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</si>
  <si>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</si>
  <si>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</si>
  <si>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</si>
  <si>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</si>
  <si>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</si>
  <si>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</si>
  <si>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</si>
  <si>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</si>
  <si>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</si>
  <si>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</si>
  <si>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</si>
  <si>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</si>
  <si>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</si>
  <si>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</si>
  <si>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</si>
  <si>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</si>
  <si>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</si>
  <si>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</si>
  <si>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</si>
  <si>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</si>
  <si>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</si>
  <si>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</si>
  <si>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</si>
  <si>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</si>
  <si>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</si>
  <si>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</si>
  <si>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</si>
  <si>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</si>
  <si>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</si>
  <si>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</si>
  <si>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</si>
  <si>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</si>
  <si>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</si>
  <si>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</si>
  <si>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</si>
  <si>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</si>
  <si>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</si>
  <si>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</si>
  <si>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</si>
  <si>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</si>
  <si>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</si>
  <si>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</si>
  <si>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</si>
  <si>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</si>
  <si>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</si>
  <si>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</si>
  <si>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</si>
  <si>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</si>
  <si>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</si>
  <si>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</si>
  <si>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</si>
  <si>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</si>
  <si>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</si>
  <si>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</si>
  <si>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</si>
  <si>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</si>
  <si>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</si>
  <si>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</si>
  <si>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</si>
  <si>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</si>
  <si>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</si>
  <si>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</si>
  <si>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</si>
  <si>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</si>
  <si>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</si>
  <si>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</si>
  <si>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</si>
  <si>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</si>
  <si>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</si>
  <si>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</si>
  <si>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</si>
  <si>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</si>
  <si>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</si>
  <si>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</si>
  <si>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</si>
  <si>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</si>
  <si>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</si>
  <si>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</si>
  <si>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</si>
  <si>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</si>
  <si>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</si>
  <si>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</si>
  <si>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</si>
  <si>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</si>
  <si>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</si>
  <si>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</si>
  <si>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</si>
  <si>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</si>
  <si>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</si>
  <si>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</si>
  <si>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</si>
  <si>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</si>
  <si>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</si>
  <si>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</si>
  <si>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</si>
  <si>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</si>
  <si>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</si>
  <si>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</si>
  <si>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</si>
  <si>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</si>
  <si>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</si>
  <si>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</si>
  <si>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</si>
  <si>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</si>
  <si>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</si>
  <si>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</si>
  <si>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</si>
  <si>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</si>
  <si>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</si>
  <si>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</si>
  <si>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</si>
  <si>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</si>
  <si>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</si>
  <si>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</si>
  <si>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</si>
  <si>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</si>
  <si>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</si>
  <si>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</si>
  <si>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</si>
  <si>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</si>
  <si>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</si>
  <si>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</si>
  <si>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</si>
  <si>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</si>
  <si>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</si>
  <si>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</si>
  <si>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</si>
  <si>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</si>
  <si>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</si>
  <si>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</si>
  <si>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</si>
  <si>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</si>
  <si>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</si>
  <si>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</si>
  <si>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</si>
  <si>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</si>
  <si>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</si>
  <si>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</si>
  <si>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</si>
  <si>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</si>
  <si>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</si>
  <si>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</si>
  <si>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</si>
  <si>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</si>
  <si>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</si>
  <si>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</si>
  <si>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</si>
  <si>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</si>
  <si>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</si>
  <si>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</si>
  <si>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</si>
  <si>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</si>
  <si>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</si>
  <si>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</si>
  <si>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</si>
  <si>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</si>
  <si>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</si>
  <si>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</si>
  <si>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</si>
  <si>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</si>
  <si>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</si>
  <si>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</si>
  <si>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</si>
  <si>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</si>
  <si>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</si>
  <si>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</si>
  <si>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</si>
  <si>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</si>
  <si>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</si>
  <si>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</si>
  <si>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</si>
  <si>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</si>
  <si>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</si>
  <si>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</si>
  <si>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</si>
  <si>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</si>
  <si>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</si>
  <si>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</si>
  <si>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</si>
  <si>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</si>
  <si>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</si>
  <si>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</si>
  <si>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</si>
  <si>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</si>
  <si>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</si>
  <si>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</si>
  <si>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</si>
  <si>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</si>
  <si>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</si>
  <si>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</si>
  <si>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</si>
  <si>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</si>
  <si>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</si>
  <si>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</si>
  <si>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</si>
  <si>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</si>
  <si>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</si>
  <si>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</si>
  <si>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</si>
  <si>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</si>
  <si>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</si>
  <si>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</si>
  <si>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</si>
  <si>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</si>
  <si>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</si>
  <si>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</si>
  <si>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</si>
  <si>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</si>
  <si>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</si>
  <si>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</si>
  <si>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</si>
  <si>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</si>
  <si>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</si>
  <si>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</si>
  <si>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</si>
  <si>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</si>
  <si>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</si>
  <si>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</si>
  <si>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</si>
  <si>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</si>
  <si>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</si>
  <si>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</si>
  <si>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</si>
  <si>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</si>
  <si>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</si>
  <si>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</si>
  <si>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</si>
  <si>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</si>
  <si>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</si>
  <si>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</si>
  <si>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</si>
  <si>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</si>
  <si>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</si>
  <si>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</si>
  <si>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</si>
  <si>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</si>
  <si>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</si>
  <si>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</si>
  <si>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</si>
  <si>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</si>
  <si>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</si>
  <si>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</si>
  <si>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</si>
  <si>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</si>
  <si>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</si>
  <si>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</si>
  <si>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</si>
  <si>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</si>
  <si>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</si>
  <si>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</si>
  <si>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</si>
  <si>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</si>
  <si>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</si>
  <si>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</si>
  <si>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</si>
  <si>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</si>
  <si>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</si>
  <si>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</si>
  <si>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</si>
  <si>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</si>
  <si>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</si>
  <si>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</si>
  <si>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</si>
  <si>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</si>
  <si>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</si>
  <si>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</si>
  <si>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</si>
  <si>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</si>
  <si>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</si>
  <si>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</si>
  <si>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</si>
  <si>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</si>
  <si>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</si>
  <si>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</si>
  <si>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</si>
  <si>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</si>
  <si>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</si>
  <si>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</si>
  <si>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</si>
  <si>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</si>
  <si>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</si>
  <si>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</si>
  <si>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</si>
  <si>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</si>
  <si>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</si>
  <si>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</si>
  <si>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</si>
  <si>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</si>
  <si>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</si>
  <si>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</si>
  <si>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</si>
  <si>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</si>
  <si>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</si>
  <si>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</si>
  <si>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</si>
  <si>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</si>
  <si>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</si>
  <si>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</si>
  <si>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</si>
  <si>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</si>
  <si>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</si>
  <si>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</si>
  <si>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</si>
  <si>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</si>
  <si>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</si>
  <si>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</si>
  <si>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</si>
  <si>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</si>
  <si>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</si>
  <si>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</si>
  <si>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</si>
  <si>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</si>
  <si>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</si>
  <si>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</si>
  <si>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</si>
  <si>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</si>
  <si>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</si>
  <si>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</si>
  <si>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</si>
  <si>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</si>
  <si>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</si>
  <si>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</si>
  <si>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</si>
  <si>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</si>
  <si>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</si>
  <si>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</si>
  <si>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</si>
  <si>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</si>
  <si>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</si>
  <si>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</si>
  <si>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</si>
  <si>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</si>
  <si>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</si>
  <si>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</si>
  <si>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</si>
  <si>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</si>
  <si>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</si>
  <si>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</si>
  <si>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</si>
  <si>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</si>
  <si>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</si>
  <si>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</si>
  <si>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</si>
  <si>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</si>
  <si>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</si>
  <si>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</si>
  <si>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</si>
  <si>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</si>
  <si>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</si>
  <si>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</si>
  <si>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</si>
  <si>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</si>
  <si>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</si>
  <si>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</si>
  <si>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</si>
  <si>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</si>
  <si>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</si>
  <si>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</si>
  <si>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</si>
  <si>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</si>
  <si>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</si>
  <si>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</si>
  <si>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</si>
  <si>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</si>
  <si>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</si>
  <si>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</si>
  <si>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</si>
  <si>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</si>
  <si>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</si>
  <si>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</si>
  <si>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</si>
  <si>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</si>
  <si>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</si>
  <si>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</si>
  <si>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</si>
  <si>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</si>
  <si>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</si>
  <si>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</si>
  <si>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</si>
  <si>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</si>
  <si>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</si>
  <si>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</si>
  <si>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</si>
  <si>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</si>
  <si>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</si>
  <si>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</si>
  <si>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</si>
  <si>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</si>
  <si>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</si>
  <si>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</si>
  <si>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</si>
  <si>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</si>
  <si>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</si>
  <si>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</si>
  <si>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</si>
  <si>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</si>
  <si>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</si>
  <si>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</si>
  <si>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</si>
  <si>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</si>
  <si>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</si>
  <si>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</si>
  <si>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</si>
  <si>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</si>
  <si>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</si>
  <si>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</si>
  <si>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</si>
  <si>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</si>
  <si>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</si>
  <si>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</si>
  <si>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</si>
  <si>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</si>
  <si>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</si>
  <si>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</si>
  <si>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</si>
  <si>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</si>
  <si>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</si>
  <si>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</si>
  <si>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</si>
  <si>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</si>
  <si>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</si>
  <si>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</si>
  <si>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</si>
  <si>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</si>
  <si>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</si>
  <si>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</si>
  <si>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</si>
  <si>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</si>
  <si>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</si>
  <si>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</si>
  <si>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</si>
  <si>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</si>
  <si>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</si>
  <si>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</si>
  <si>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</si>
  <si>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</si>
  <si>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</si>
  <si>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</si>
  <si>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</si>
  <si>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</si>
  <si>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</si>
  <si>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</si>
  <si>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</si>
  <si>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</si>
  <si>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</si>
  <si>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</si>
  <si>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</si>
  <si>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</si>
  <si>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</si>
  <si>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</si>
  <si>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</si>
  <si>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</si>
  <si>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</si>
  <si>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</si>
  <si>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</si>
  <si>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</si>
  <si>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</si>
  <si>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</si>
  <si>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</si>
  <si>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</si>
  <si>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</si>
  <si>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</si>
  <si>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</si>
  <si>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</si>
  <si>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</si>
  <si>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</si>
  <si>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</si>
  <si>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</si>
  <si>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</si>
  <si>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</si>
  <si>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</si>
  <si>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</si>
  <si>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</si>
  <si>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</si>
  <si>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</si>
  <si>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</si>
  <si>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</si>
  <si>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</si>
  <si>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</si>
  <si>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</si>
  <si>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</si>
  <si>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</si>
  <si>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</si>
  <si>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</si>
  <si>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</si>
  <si>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</si>
  <si>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</si>
  <si>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</si>
  <si>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</si>
  <si>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</si>
  <si>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</si>
  <si>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</si>
  <si>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</si>
  <si>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</si>
  <si>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</si>
  <si>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</si>
  <si>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</si>
  <si>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</si>
  <si>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</si>
  <si>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</si>
  <si>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</si>
  <si>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</si>
  <si>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</si>
  <si>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</si>
  <si>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</si>
  <si>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</si>
  <si>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</si>
  <si>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</si>
  <si>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</si>
  <si>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</si>
  <si>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</si>
  <si>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</si>
  <si>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</si>
  <si>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</si>
  <si>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</si>
  <si>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</si>
  <si>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</si>
  <si>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</si>
  <si>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</si>
  <si>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</si>
  <si>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</si>
  <si>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</si>
  <si>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</si>
  <si>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</si>
  <si>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</si>
  <si>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</si>
  <si>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</si>
  <si>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</si>
  <si>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</si>
  <si>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</si>
  <si>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</si>
  <si>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</si>
  <si>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</si>
  <si>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</si>
  <si>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</si>
  <si>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</si>
  <si>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</si>
  <si>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</si>
  <si>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</si>
  <si>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</si>
  <si>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</si>
  <si>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</si>
  <si>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</si>
  <si>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</si>
  <si>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</si>
  <si>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</si>
  <si>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</si>
  <si>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</si>
  <si>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</si>
  <si>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</si>
  <si>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</si>
  <si>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</si>
  <si>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</si>
  <si>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</si>
  <si>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</si>
  <si>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</si>
  <si>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</si>
  <si>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</si>
  <si>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</si>
  <si>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</si>
  <si>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</si>
  <si>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</si>
  <si>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</si>
  <si>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</si>
  <si>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</si>
  <si>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</si>
  <si>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</si>
  <si>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</si>
  <si>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</si>
  <si>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</si>
  <si>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</si>
  <si>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</si>
  <si>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</si>
  <si>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</si>
  <si>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</si>
  <si>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</si>
  <si>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</si>
  <si>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</si>
  <si>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</si>
  <si>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</si>
  <si>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</si>
  <si>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</si>
  <si>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</si>
  <si>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</si>
  <si>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</si>
  <si>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</si>
  <si>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</si>
  <si>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</si>
  <si>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</si>
  <si>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</si>
  <si>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</si>
  <si>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</si>
  <si>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</si>
  <si>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</si>
  <si>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</si>
  <si>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</si>
  <si>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</si>
  <si>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</si>
  <si>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</si>
  <si>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</si>
  <si>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</si>
  <si>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</si>
  <si>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</si>
  <si>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</si>
  <si>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</si>
  <si>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</si>
  <si>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</si>
  <si>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</si>
  <si>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</si>
  <si>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</si>
  <si>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</si>
  <si>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</si>
  <si>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</si>
  <si>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</si>
  <si>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</si>
  <si>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</si>
  <si>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</si>
  <si>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</si>
  <si>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</si>
  <si>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</si>
  <si>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</si>
  <si>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</si>
  <si>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</si>
  <si>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</si>
  <si>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</si>
  <si>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</si>
  <si>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</si>
  <si>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</si>
  <si>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</si>
  <si>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</si>
  <si>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</si>
  <si>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</si>
  <si>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</si>
  <si>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</si>
  <si>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</si>
  <si>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</si>
  <si>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</si>
  <si>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</si>
  <si>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</si>
  <si>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</si>
  <si>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</si>
  <si>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</si>
  <si>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</si>
  <si>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</si>
  <si>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</si>
  <si>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</si>
  <si>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</si>
  <si>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</si>
  <si>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</si>
  <si>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</si>
  <si>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</si>
  <si>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</si>
  <si>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</si>
  <si>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</si>
  <si>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</si>
  <si>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</si>
  <si>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</si>
  <si>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</si>
  <si>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</si>
  <si>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</si>
  <si>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</si>
  <si>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</si>
  <si>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</si>
  <si>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</si>
  <si>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</si>
  <si>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</si>
  <si>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</si>
  <si>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</si>
  <si>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</si>
  <si>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</si>
  <si>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</si>
  <si>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</si>
  <si>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</si>
  <si>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</si>
  <si>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</si>
  <si>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</si>
  <si>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</si>
  <si>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</si>
  <si>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</si>
  <si>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</si>
  <si>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</si>
  <si>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</si>
  <si>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</si>
  <si>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</si>
  <si>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</si>
  <si>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</si>
  <si>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</si>
  <si>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</si>
  <si>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</si>
  <si>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</si>
  <si>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</si>
  <si>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</si>
  <si>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</si>
  <si>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</si>
  <si>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</si>
  <si>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</si>
  <si>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</si>
  <si>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</si>
  <si>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</si>
  <si>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</si>
  <si>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</si>
  <si>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</si>
  <si>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</si>
  <si>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</si>
  <si>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</si>
  <si>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</si>
  <si>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</si>
  <si>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</si>
  <si>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</si>
  <si>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</si>
  <si>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</si>
  <si>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</si>
  <si>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</si>
  <si>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</si>
  <si>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</si>
  <si>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</si>
  <si>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</si>
  <si>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</si>
  <si>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</si>
  <si>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</si>
  <si>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</si>
  <si>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</si>
  <si>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</si>
  <si>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</si>
  <si>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</si>
  <si>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</si>
  <si>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</si>
  <si>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</si>
  <si>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</si>
  <si>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</si>
  <si>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</si>
  <si>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</si>
  <si>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</si>
  <si>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</si>
  <si>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</si>
  <si>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</si>
  <si>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</si>
  <si>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</si>
  <si>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</si>
  <si>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</si>
  <si>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</si>
  <si>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</si>
  <si>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</si>
  <si>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</si>
  <si>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</si>
  <si>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</si>
  <si>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</si>
  <si>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</si>
  <si>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</si>
  <si>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</si>
  <si>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</si>
  <si>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</si>
  <si>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</si>
  <si>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</si>
  <si>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</si>
  <si>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</si>
  <si>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</si>
  <si>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</si>
  <si>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</si>
  <si>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</si>
  <si>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</si>
  <si>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</si>
  <si>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</si>
  <si>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</si>
  <si>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</si>
  <si>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</si>
  <si>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</si>
  <si>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</si>
  <si>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</si>
  <si>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</si>
  <si>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</si>
  <si>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</si>
  <si>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</si>
  <si>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</si>
  <si>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</si>
  <si>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</si>
  <si>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</si>
  <si>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</si>
  <si>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</si>
  <si>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</si>
  <si>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</si>
  <si>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</si>
  <si>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</si>
  <si>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</si>
  <si>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</si>
  <si>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</si>
  <si>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</si>
  <si>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</si>
  <si>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</si>
  <si>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</si>
  <si>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</si>
  <si>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</si>
  <si>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</si>
  <si>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</si>
  <si>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</si>
  <si>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</si>
  <si>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</si>
  <si>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</si>
  <si>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</si>
  <si>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</si>
  <si>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</si>
  <si>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</si>
  <si>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</si>
  <si>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</si>
  <si>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</si>
  <si>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</si>
  <si>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</si>
  <si>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</si>
  <si>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</si>
  <si>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</si>
  <si>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</si>
  <si>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</si>
  <si>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</si>
  <si>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</si>
  <si>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</si>
  <si>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</si>
  <si>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</si>
  <si>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</si>
  <si>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</si>
  <si>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</si>
  <si>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</si>
  <si>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</si>
  <si>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</si>
  <si>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</si>
  <si>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</si>
  <si>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</si>
  <si>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</si>
  <si>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</si>
  <si>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</si>
  <si>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</si>
  <si>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</si>
  <si>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</si>
  <si>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</si>
  <si>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</si>
  <si>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</si>
  <si>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</si>
  <si>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</si>
  <si>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</si>
  <si>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</si>
  <si>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</si>
  <si>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</si>
  <si>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</si>
  <si>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</si>
  <si>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</si>
  <si>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</si>
  <si>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</si>
  <si>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</si>
  <si>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</si>
  <si>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</si>
  <si>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</si>
  <si>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</si>
  <si>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</si>
  <si>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</si>
  <si>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</si>
  <si>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</si>
  <si>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</si>
  <si>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</si>
  <si>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</si>
  <si>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</si>
  <si>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</si>
  <si>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</si>
  <si>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</si>
  <si>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</si>
  <si>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</si>
  <si>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</si>
  <si>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</si>
  <si>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</si>
  <si>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</si>
  <si>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</si>
  <si>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</si>
  <si>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</si>
  <si>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</si>
  <si>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</si>
  <si>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</si>
  <si>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</si>
  <si>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</si>
  <si>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</si>
  <si>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</si>
  <si>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</si>
  <si>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</si>
  <si>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</si>
  <si>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</si>
  <si>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</si>
  <si>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</si>
  <si>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</si>
  <si>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</si>
  <si>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</si>
  <si>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</si>
  <si>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</si>
  <si>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</si>
  <si>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</si>
  <si>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</si>
  <si>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</si>
  <si>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</si>
  <si>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</si>
  <si>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</si>
  <si>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</si>
  <si>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</si>
  <si>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</si>
  <si>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</si>
  <si>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</si>
  <si>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</si>
  <si>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</si>
  <si>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</si>
  <si>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</si>
  <si>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</si>
  <si>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</si>
  <si>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</si>
  <si>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</si>
  <si>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</si>
  <si>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</si>
  <si>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</si>
  <si>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</si>
  <si>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</si>
  <si>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</si>
  <si>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</si>
  <si>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</si>
  <si>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</si>
  <si>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</si>
  <si>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</si>
  <si>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</si>
  <si>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</si>
  <si>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</si>
  <si>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</si>
  <si>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</si>
  <si>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</si>
  <si>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</si>
  <si>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</si>
  <si>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</si>
  <si>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</si>
  <si>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</si>
  <si>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</si>
  <si>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</si>
  <si>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</si>
  <si>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</si>
  <si>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</si>
  <si>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</si>
  <si>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</si>
  <si>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</si>
  <si>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</si>
  <si>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</si>
  <si>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</si>
  <si>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</si>
  <si>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</si>
  <si>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</si>
  <si>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</si>
  <si>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</si>
  <si>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</si>
  <si>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</si>
  <si>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</si>
  <si>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</si>
  <si>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</si>
  <si>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</si>
  <si>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</si>
  <si>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</si>
  <si>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</si>
  <si>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</si>
  <si>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</si>
  <si>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</si>
  <si>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</si>
  <si>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</si>
  <si>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</si>
  <si>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</si>
  <si>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</si>
  <si>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</si>
  <si>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</si>
  <si>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</si>
  <si>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</si>
  <si>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</si>
  <si>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</si>
  <si>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</si>
  <si>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</si>
  <si>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</si>
  <si>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</si>
  <si>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</si>
  <si>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</si>
  <si>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</si>
  <si>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</si>
  <si>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</si>
  <si>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</si>
  <si>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</si>
  <si>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</si>
  <si>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</si>
  <si>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</si>
  <si>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</si>
  <si>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</si>
  <si>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</si>
  <si>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</si>
  <si>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</si>
  <si>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</si>
  <si>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</si>
  <si>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</si>
  <si>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</si>
  <si>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</si>
  <si>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</si>
  <si>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</si>
  <si>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</si>
  <si>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</si>
  <si>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</si>
  <si>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</si>
  <si>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</si>
  <si>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</si>
  <si>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</si>
  <si>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</si>
  <si>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</si>
  <si>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</si>
  <si>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</si>
  <si>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</si>
  <si>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</si>
  <si>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</si>
  <si>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</si>
  <si>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</si>
  <si>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</si>
  <si>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</si>
  <si>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</si>
  <si>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</si>
  <si>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</si>
  <si>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</si>
  <si>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</si>
  <si>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</si>
  <si>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</si>
  <si>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</si>
  <si>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</si>
  <si>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</si>
  <si>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</si>
  <si>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</si>
  <si>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</si>
  <si>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</si>
  <si>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</si>
  <si>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</si>
  <si>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</si>
  <si>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</si>
  <si>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</si>
  <si>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</si>
  <si>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</si>
  <si>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</si>
  <si>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</si>
  <si>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</si>
  <si>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</si>
  <si>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</si>
  <si>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</si>
  <si>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</si>
  <si>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</si>
  <si>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</si>
  <si>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</si>
  <si>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</si>
  <si>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</si>
  <si>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</si>
  <si>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</si>
  <si>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</si>
  <si>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</si>
  <si>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</si>
  <si>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</si>
  <si>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</si>
  <si>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</si>
  <si>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</si>
  <si>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</si>
  <si>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</si>
  <si>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</si>
  <si>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</si>
  <si>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</si>
  <si>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</si>
  <si>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</si>
  <si>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</si>
  <si>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</si>
  <si>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</si>
  <si>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</si>
  <si>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</si>
  <si>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</si>
  <si>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</si>
  <si>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</si>
  <si>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</si>
  <si>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</si>
  <si>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</si>
  <si>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</si>
  <si>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</si>
  <si>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</si>
  <si>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</si>
  <si>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</si>
  <si>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</si>
  <si>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</si>
  <si>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</si>
  <si>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</si>
  <si>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</si>
  <si>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</si>
  <si>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</si>
  <si>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</si>
  <si>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</si>
  <si>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</si>
  <si>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</si>
  <si>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</si>
  <si>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</si>
  <si>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</si>
  <si>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</si>
  <si>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</si>
  <si>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</si>
  <si>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</si>
  <si>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</si>
  <si>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</si>
  <si>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</si>
  <si>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</si>
  <si>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</si>
  <si>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</si>
  <si>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</si>
  <si>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</si>
  <si>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</si>
  <si>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</si>
  <si>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</si>
  <si>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</si>
  <si>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</si>
  <si>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</si>
  <si>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</si>
  <si>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</si>
  <si>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</si>
  <si>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</si>
  <si>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</si>
  <si>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</si>
  <si>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</si>
  <si>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</si>
  <si>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</si>
  <si>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</si>
  <si>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</si>
  <si>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</si>
  <si>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</si>
  <si>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</si>
  <si>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</si>
  <si>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</si>
  <si>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</si>
  <si>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</si>
  <si>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</si>
  <si>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</si>
  <si>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</si>
  <si>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</si>
  <si>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</si>
  <si>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</si>
  <si>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</si>
  <si>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</si>
  <si>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</si>
  <si>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</si>
  <si>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</si>
  <si>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</si>
  <si>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</si>
  <si>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</si>
  <si>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</si>
  <si>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</si>
  <si>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</si>
  <si>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</si>
  <si>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</si>
  <si>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</si>
  <si>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</si>
  <si>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</si>
  <si>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</si>
  <si>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</si>
  <si>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</si>
  <si>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</si>
  <si>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</si>
  <si>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</si>
  <si>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</si>
  <si>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</si>
  <si>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</si>
  <si>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</si>
  <si>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</si>
  <si>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</si>
  <si>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</si>
  <si>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</si>
  <si>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</si>
  <si>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</si>
  <si>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</si>
  <si>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</si>
  <si>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</si>
  <si>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</si>
  <si>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</si>
  <si>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</si>
  <si>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</si>
  <si>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</si>
  <si>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</si>
  <si>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</si>
  <si>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</si>
  <si>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</si>
  <si>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</si>
  <si>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</si>
  <si>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</si>
  <si>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</si>
  <si>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</si>
  <si>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</si>
  <si>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</si>
  <si>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</si>
  <si>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</si>
  <si>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</si>
  <si>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</si>
  <si>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</si>
  <si>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</si>
  <si>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</si>
  <si>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</si>
  <si>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</si>
  <si>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</si>
  <si>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</si>
  <si>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</si>
  <si>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</si>
  <si>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</si>
  <si>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</si>
  <si>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</si>
  <si>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</si>
  <si>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</si>
  <si>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</si>
  <si>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</si>
  <si>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</si>
  <si>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</si>
  <si>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</si>
  <si>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</si>
  <si>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</si>
  <si>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</si>
  <si>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</si>
  <si>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</si>
  <si>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</si>
  <si>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</si>
  <si>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</si>
  <si>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</si>
  <si>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</si>
  <si>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</si>
  <si>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</si>
  <si>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</si>
  <si>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</si>
  <si>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</si>
  <si>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</si>
  <si>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</si>
  <si>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</si>
  <si>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</si>
  <si>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</si>
  <si>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</si>
  <si>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</si>
  <si>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</si>
  <si>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</si>
  <si>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</si>
  <si>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</si>
  <si>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</si>
  <si>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</si>
  <si>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</si>
  <si>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</si>
  <si>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</si>
  <si>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</si>
  <si>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</si>
  <si>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</si>
  <si>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</si>
  <si>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</si>
  <si>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</si>
  <si>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</si>
  <si>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</si>
  <si>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</si>
  <si>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</si>
  <si>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</si>
  <si>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</si>
  <si>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</si>
  <si>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</si>
  <si>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</si>
  <si>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</si>
  <si>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</si>
  <si>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</si>
  <si>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</si>
  <si>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</si>
  <si>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</si>
  <si>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</si>
  <si>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</si>
  <si>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</si>
  <si>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</si>
  <si>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</si>
  <si>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</si>
  <si>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</si>
  <si>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</si>
  <si>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</si>
  <si>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</si>
  <si>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</si>
  <si>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</si>
  <si>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</si>
  <si>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</si>
  <si>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</si>
  <si>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</si>
  <si>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</si>
  <si>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</si>
  <si>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</si>
  <si>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</si>
  <si>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</si>
  <si>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</si>
  <si>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</si>
  <si>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</si>
  <si>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</si>
  <si>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</si>
  <si>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</si>
  <si>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</si>
  <si>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</si>
  <si>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</si>
  <si>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</si>
  <si>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</si>
  <si>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</si>
  <si>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</si>
  <si>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</si>
  <si>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</si>
  <si>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</si>
  <si>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</si>
  <si>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</si>
  <si>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</si>
  <si>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</si>
  <si>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</si>
  <si>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</si>
  <si>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</si>
  <si>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</si>
  <si>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</si>
  <si>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</si>
  <si>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</si>
  <si>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</si>
  <si>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</si>
  <si>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</si>
  <si>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</si>
  <si>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</si>
  <si>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</si>
  <si>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</si>
  <si>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</si>
  <si>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</si>
  <si>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</si>
  <si>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</si>
  <si>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</si>
  <si>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</si>
  <si>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</si>
  <si>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</si>
  <si>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</si>
  <si>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</si>
  <si>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</si>
  <si>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</si>
  <si>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</si>
  <si>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</si>
  <si>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</si>
  <si>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</si>
  <si>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</si>
  <si>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</si>
  <si>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</si>
  <si>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</si>
  <si>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</si>
  <si>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</si>
  <si>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</si>
  <si>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</si>
  <si>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</si>
  <si>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</si>
  <si>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</si>
  <si>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</si>
  <si>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</si>
  <si>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</si>
  <si>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</si>
  <si>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</si>
  <si>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</si>
  <si>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</si>
  <si>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</si>
  <si>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</si>
  <si>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</si>
  <si>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</si>
  <si>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</si>
  <si>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</si>
  <si>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</si>
  <si>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</si>
  <si>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</si>
  <si>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</si>
  <si>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</si>
  <si>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</si>
  <si>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</si>
  <si>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</si>
  <si>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</si>
  <si>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</si>
  <si>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</si>
  <si>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</si>
  <si>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</si>
  <si>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</si>
  <si>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</si>
  <si>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</si>
  <si>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</si>
  <si>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</si>
  <si>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</si>
  <si>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</si>
  <si>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</si>
  <si>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</si>
  <si>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</si>
  <si>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</si>
  <si>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</si>
  <si>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</si>
  <si>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</si>
  <si>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</si>
  <si>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</si>
  <si>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</si>
  <si>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</si>
  <si>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</si>
  <si>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</si>
  <si>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</si>
  <si>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</si>
  <si>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</si>
  <si>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</si>
  <si>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</si>
  <si>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</si>
  <si>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</si>
  <si>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</si>
  <si>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</si>
  <si>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</si>
  <si>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</si>
  <si>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</si>
  <si>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</si>
  <si>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</si>
  <si>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</si>
  <si>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</si>
  <si>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</si>
  <si>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</si>
  <si>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</si>
  <si>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</si>
  <si>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</si>
  <si>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</si>
  <si>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</si>
  <si>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</si>
  <si>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</si>
  <si>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</si>
  <si>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</si>
  <si>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</si>
  <si>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</si>
  <si>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</si>
  <si>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</si>
  <si>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</si>
  <si>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</si>
  <si>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</si>
  <si>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</si>
  <si>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</si>
  <si>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</si>
  <si>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</si>
  <si>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</si>
  <si>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</si>
  <si>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</si>
  <si>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</si>
  <si>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</si>
  <si>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</si>
  <si>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</si>
  <si>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</si>
  <si>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</si>
  <si>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</si>
  <si>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</si>
  <si>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</si>
  <si>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</si>
  <si>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</si>
  <si>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</si>
  <si>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</si>
  <si>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</si>
  <si>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</si>
  <si>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</si>
  <si>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</si>
  <si>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</si>
  <si>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</si>
  <si>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</si>
  <si>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</si>
  <si>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</si>
  <si>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</si>
  <si>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</si>
  <si>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</si>
  <si>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</si>
  <si>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</si>
  <si>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</si>
  <si>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</si>
  <si>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</si>
  <si>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</si>
  <si>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</si>
  <si>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</si>
  <si>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</si>
  <si>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</si>
  <si>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</si>
  <si>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</si>
  <si>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</si>
  <si>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</si>
  <si>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</si>
  <si>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</si>
  <si>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</si>
  <si>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</si>
  <si>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</si>
  <si>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</si>
  <si>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</si>
  <si>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</si>
  <si>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</si>
  <si>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</si>
  <si>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</si>
  <si>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</si>
  <si>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</si>
  <si>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</si>
  <si>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</si>
  <si>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</si>
  <si>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</si>
  <si>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</si>
  <si>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</si>
  <si>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</si>
  <si>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</si>
  <si>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</si>
  <si>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</si>
  <si>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</si>
  <si>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</si>
  <si>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</si>
  <si>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</si>
  <si>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</si>
  <si>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</si>
  <si>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</si>
  <si>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</si>
  <si>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</si>
  <si>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</si>
  <si>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</si>
  <si>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</si>
  <si>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</si>
  <si>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</si>
  <si>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</si>
  <si>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</si>
  <si>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</si>
  <si>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</si>
  <si>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</si>
  <si>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</si>
  <si>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</si>
  <si>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</si>
  <si>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</si>
  <si>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</si>
  <si>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</si>
  <si>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</si>
  <si>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</si>
  <si>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</si>
  <si>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</si>
  <si>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</si>
  <si>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</si>
  <si>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</si>
  <si>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</si>
  <si>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</si>
  <si>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</si>
  <si>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</si>
  <si>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</si>
  <si>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</si>
  <si>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</si>
  <si>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</si>
  <si>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</si>
  <si>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</si>
  <si>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</si>
  <si>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</si>
  <si>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</si>
  <si>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</si>
  <si>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</si>
  <si>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</si>
  <si>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</si>
  <si>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</si>
  <si>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</si>
  <si>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</si>
  <si>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</si>
  <si>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</si>
  <si>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</si>
  <si>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</si>
  <si>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</si>
  <si>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</si>
  <si>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</si>
  <si>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</si>
  <si>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</si>
  <si>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</si>
  <si>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</si>
  <si>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</si>
  <si>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</si>
  <si>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</si>
  <si>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</si>
  <si>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</si>
  <si>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</si>
  <si>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</si>
  <si>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</si>
  <si>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</si>
  <si>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</si>
  <si>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</si>
  <si>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</si>
  <si>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</si>
  <si>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</si>
  <si>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</si>
  <si>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</si>
  <si>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</si>
  <si>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</si>
  <si>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</si>
  <si>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</si>
  <si>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</si>
  <si>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</si>
  <si>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</si>
  <si>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</si>
  <si>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</si>
  <si>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</si>
  <si>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</si>
  <si>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</si>
  <si>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</si>
  <si>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</si>
  <si>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</si>
  <si>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</si>
  <si>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</si>
  <si>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</si>
  <si>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</si>
  <si>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</si>
  <si>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</si>
  <si>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</si>
  <si>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</si>
  <si>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</si>
  <si>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</si>
  <si>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</si>
  <si>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</si>
  <si>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</si>
  <si>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</si>
  <si>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</si>
  <si>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</si>
  <si>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</si>
  <si>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</si>
  <si>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</si>
  <si>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</si>
  <si>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</si>
  <si>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</si>
  <si>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</si>
  <si>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</si>
  <si>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</si>
  <si>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</si>
  <si>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</si>
  <si>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</si>
  <si>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</si>
  <si>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</si>
  <si>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</si>
  <si>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</si>
  <si>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</si>
  <si>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</si>
  <si>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</si>
  <si>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</si>
  <si>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</si>
  <si>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</si>
  <si>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</si>
  <si>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</si>
  <si>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</si>
  <si>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</si>
  <si>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</si>
  <si>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</si>
  <si>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</si>
  <si>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</si>
  <si>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</si>
  <si>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</si>
  <si>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</si>
  <si>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</si>
  <si>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</si>
  <si>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</si>
  <si>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</si>
  <si>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</si>
  <si>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</si>
  <si>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</si>
  <si>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</si>
  <si>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</si>
  <si>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</si>
  <si>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</si>
  <si>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</si>
  <si>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</si>
  <si>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</si>
  <si>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</si>
  <si>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</si>
  <si>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</si>
  <si>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</si>
  <si>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</si>
  <si>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</si>
  <si>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</si>
  <si>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</si>
  <si>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</si>
  <si>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</si>
  <si>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</si>
  <si>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</si>
  <si>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</si>
  <si>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</si>
  <si>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</si>
  <si>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</si>
  <si>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</si>
  <si>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</si>
  <si>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</si>
  <si>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</si>
  <si>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</si>
  <si>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</si>
  <si>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</si>
  <si>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</si>
  <si>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</si>
  <si>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</si>
  <si>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</si>
  <si>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</si>
  <si>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</si>
  <si>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</si>
  <si>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</si>
  <si>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</si>
  <si>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</si>
  <si>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</si>
  <si>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</si>
  <si>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</si>
  <si>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</si>
  <si>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</si>
  <si>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</si>
  <si>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</si>
  <si>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</si>
  <si>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</si>
  <si>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</si>
  <si>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</si>
  <si>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</si>
  <si>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</si>
  <si>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</si>
  <si>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</si>
  <si>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</si>
  <si>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</si>
  <si>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</si>
  <si>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</si>
  <si>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</si>
  <si>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</si>
  <si>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</si>
  <si>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</si>
  <si>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</si>
  <si>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</si>
  <si>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</si>
  <si>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</si>
  <si>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</si>
  <si>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</si>
  <si>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</si>
  <si>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</si>
  <si>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</si>
  <si>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</si>
  <si>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</si>
  <si>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</si>
  <si>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</si>
  <si>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</si>
  <si>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</si>
  <si>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</si>
  <si>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</si>
  <si>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</si>
  <si>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</si>
  <si>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</si>
  <si>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</si>
  <si>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</si>
  <si>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</si>
  <si>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</si>
  <si>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</si>
  <si>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</si>
  <si>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</si>
  <si>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</si>
  <si>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</si>
  <si>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</si>
  <si>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</si>
  <si>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</si>
  <si>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</si>
  <si>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</si>
  <si>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</si>
  <si>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</si>
  <si>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</si>
  <si>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</si>
  <si>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</si>
  <si>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</si>
  <si>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</si>
  <si>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</si>
  <si>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</si>
  <si>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</si>
  <si>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</si>
  <si>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</si>
  <si>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</si>
  <si>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</si>
  <si>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</si>
  <si>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</si>
  <si>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</si>
  <si>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</si>
  <si>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</si>
  <si>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</si>
  <si>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</si>
  <si>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</si>
  <si>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</si>
  <si>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</si>
  <si>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</si>
  <si>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</si>
  <si>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</si>
  <si>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</si>
  <si>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</si>
  <si>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</si>
  <si>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</si>
  <si>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</si>
  <si>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</si>
  <si>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</si>
  <si>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</si>
  <si>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</si>
  <si>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</si>
  <si>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</si>
  <si>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</si>
  <si>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</si>
  <si>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</si>
  <si>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</si>
  <si>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</si>
  <si>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</si>
  <si>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</si>
  <si>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</si>
  <si>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</si>
  <si>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</si>
  <si>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</si>
  <si>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</si>
  <si>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</si>
  <si>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</si>
  <si>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</si>
  <si>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</si>
  <si>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</si>
  <si>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</si>
  <si>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</si>
  <si>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</si>
  <si>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</si>
  <si>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</si>
  <si>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</si>
  <si>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</si>
  <si>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</si>
  <si>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</si>
  <si>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</si>
  <si>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</si>
  <si>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</si>
  <si>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</si>
  <si>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</si>
  <si>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</si>
  <si>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</si>
  <si>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</si>
  <si>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</si>
  <si>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</si>
  <si>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</si>
  <si>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</si>
  <si>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</si>
  <si>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</si>
  <si>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</si>
  <si>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</si>
  <si>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</si>
  <si>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</si>
  <si>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</si>
  <si>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</si>
  <si>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</si>
  <si>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</si>
  <si>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</si>
  <si>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</si>
  <si>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</si>
  <si>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</si>
  <si>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</si>
  <si>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</si>
  <si>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</si>
  <si>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</si>
  <si>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</si>
  <si>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</si>
  <si>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</si>
  <si>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</si>
  <si>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</si>
  <si>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</si>
  <si>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</si>
  <si>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</si>
  <si>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</si>
  <si>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</si>
  <si>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</si>
  <si>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</si>
  <si>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</si>
  <si>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</si>
  <si>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</si>
  <si>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</si>
  <si>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</si>
  <si>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</si>
  <si>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</si>
  <si>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</si>
  <si>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</si>
  <si>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</si>
  <si>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</si>
  <si>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</si>
  <si>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</si>
  <si>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</si>
  <si>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</si>
  <si>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</si>
  <si>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</si>
  <si>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</si>
  <si>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</si>
  <si>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</si>
  <si>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</si>
  <si>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</si>
  <si>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</si>
  <si>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</si>
  <si>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</si>
  <si>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</si>
  <si>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</si>
  <si>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</si>
  <si>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</si>
  <si>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</si>
  <si>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</si>
  <si>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</si>
  <si>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</si>
  <si>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</si>
  <si>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</si>
  <si>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</si>
  <si>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</si>
  <si>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</si>
  <si>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</si>
  <si>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</si>
  <si>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</si>
  <si>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</si>
  <si>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</si>
  <si>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</si>
  <si>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</si>
  <si>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</si>
  <si>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</si>
  <si>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</si>
  <si>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</si>
  <si>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</si>
  <si>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</si>
  <si>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</si>
  <si>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</si>
  <si>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</si>
  <si>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</si>
  <si>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</si>
  <si>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</si>
  <si>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</si>
  <si>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</si>
  <si>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</si>
  <si>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</si>
  <si>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</si>
  <si>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</si>
  <si>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</si>
  <si>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</si>
  <si>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</si>
  <si>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</si>
  <si>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</si>
  <si>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</si>
  <si>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</si>
  <si>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</si>
  <si>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</si>
  <si>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</si>
  <si>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</si>
  <si>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</si>
  <si>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</si>
  <si>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</si>
  <si>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</si>
  <si>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</si>
  <si>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</si>
  <si>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</si>
  <si>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</si>
  <si>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</si>
  <si>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</si>
  <si>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</si>
  <si>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</si>
  <si>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</si>
  <si>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</si>
  <si>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</si>
  <si>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</si>
  <si>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</si>
  <si>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</si>
  <si>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</si>
  <si>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</si>
  <si>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</si>
  <si>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</si>
  <si>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</si>
  <si>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</si>
  <si>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</si>
  <si>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</si>
  <si>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</si>
  <si>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</si>
  <si>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</si>
  <si>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</si>
  <si>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</si>
  <si>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</si>
  <si>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</si>
  <si>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</si>
  <si>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</si>
  <si>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</si>
  <si>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</si>
  <si>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</si>
  <si>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</si>
  <si>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</si>
  <si>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</si>
  <si>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</si>
  <si>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</si>
  <si>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</si>
  <si>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</si>
  <si>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</si>
  <si>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</si>
  <si>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</si>
  <si>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</si>
  <si>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</si>
  <si>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</si>
  <si>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</si>
  <si>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</si>
  <si>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</si>
  <si>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</si>
  <si>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</si>
  <si>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</si>
  <si>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</si>
  <si>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</si>
  <si>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</si>
  <si>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</si>
  <si>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</si>
  <si>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</si>
  <si>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</si>
  <si>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</si>
  <si>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</si>
  <si>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</si>
  <si>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</si>
  <si>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</si>
  <si>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</si>
  <si>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</si>
  <si>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</si>
  <si>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</si>
  <si>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</si>
  <si>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</si>
  <si>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</si>
  <si>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</si>
  <si>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</si>
  <si>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</si>
  <si>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</si>
  <si>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</si>
  <si>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</si>
  <si>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</si>
  <si>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</si>
  <si>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</si>
  <si>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</si>
  <si>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</si>
  <si>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</si>
  <si>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</si>
  <si>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</si>
  <si>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</si>
  <si>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</si>
  <si>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</si>
  <si>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</si>
  <si>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</si>
  <si>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</si>
  <si>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</si>
  <si>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</si>
  <si>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</si>
  <si>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</si>
  <si>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</si>
  <si>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</si>
  <si>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</si>
  <si>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</si>
  <si>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</si>
  <si>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</si>
  <si>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</si>
  <si>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</si>
  <si>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</si>
  <si>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</si>
  <si>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</si>
  <si>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</si>
  <si>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</si>
  <si>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</si>
  <si>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</si>
  <si>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</si>
  <si>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</si>
  <si>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</si>
  <si>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</si>
  <si>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</si>
  <si>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</si>
  <si>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</si>
  <si>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</si>
  <si>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</si>
  <si>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</si>
  <si>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</si>
  <si>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</si>
  <si>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</si>
  <si>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</si>
  <si>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</si>
  <si>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</si>
  <si>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</si>
  <si>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</si>
  <si>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</si>
  <si>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</si>
  <si>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</si>
  <si>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</si>
  <si>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</si>
  <si>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</si>
  <si>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</si>
  <si>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</si>
  <si>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</si>
  <si>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</si>
  <si>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</si>
  <si>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</si>
  <si>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</si>
  <si>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</si>
  <si>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</si>
  <si>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</si>
  <si>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</si>
  <si>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</si>
  <si>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</si>
  <si>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</si>
  <si>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</si>
  <si>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</si>
  <si>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</si>
  <si>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</si>
  <si>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</si>
  <si>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</si>
  <si>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</si>
  <si>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</si>
  <si>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</si>
  <si>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</si>
  <si>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</si>
  <si>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</si>
  <si>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</si>
  <si>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</si>
  <si>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</si>
  <si>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</si>
  <si>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</si>
  <si>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</si>
  <si>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</si>
  <si>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</si>
  <si>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</si>
  <si>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</si>
  <si>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</si>
  <si>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</si>
  <si>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</si>
  <si>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</si>
  <si>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</si>
  <si>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</si>
  <si>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</si>
  <si>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</si>
  <si>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</si>
  <si>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</si>
  <si>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</si>
  <si>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</si>
  <si>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</si>
  <si>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</si>
  <si>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</si>
  <si>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</si>
  <si>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</si>
  <si>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</si>
  <si>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</si>
  <si>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</si>
  <si>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</si>
  <si>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</si>
  <si>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</si>
  <si>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</si>
  <si>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</si>
  <si>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</si>
  <si>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</si>
  <si>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</si>
  <si>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</si>
  <si>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</si>
  <si>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</si>
  <si>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</si>
  <si>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</si>
  <si>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</si>
  <si>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</si>
  <si>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</si>
  <si>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</si>
  <si>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</si>
  <si>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</si>
  <si>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</si>
  <si>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</si>
  <si>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</si>
  <si>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</si>
  <si>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</si>
  <si>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</si>
  <si>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</si>
  <si>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</si>
  <si>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</si>
  <si>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</si>
  <si>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</si>
  <si>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</si>
  <si>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</si>
  <si>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</si>
  <si>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</si>
  <si>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</si>
  <si>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</si>
  <si>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</si>
  <si>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</si>
  <si>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</si>
  <si>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</si>
  <si>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</si>
  <si>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</si>
  <si>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</si>
  <si>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</si>
  <si>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</si>
  <si>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</si>
  <si>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</si>
  <si>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</si>
  <si>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</si>
  <si>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</si>
  <si>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</si>
  <si>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</si>
  <si>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</si>
  <si>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</si>
  <si>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</si>
  <si>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</si>
  <si>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</si>
  <si>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</si>
  <si>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</si>
  <si>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</si>
  <si>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</si>
  <si>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</si>
  <si>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</si>
  <si>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</si>
  <si>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</si>
  <si>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</si>
  <si>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</si>
  <si>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</si>
  <si>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</si>
  <si>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</si>
  <si>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</si>
  <si>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</si>
  <si>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</si>
  <si>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</si>
  <si>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</si>
  <si>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</si>
  <si>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</si>
  <si>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</si>
  <si>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</si>
  <si>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</si>
  <si>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</si>
  <si>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</si>
  <si>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</si>
  <si>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</si>
  <si>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</si>
  <si>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</si>
  <si>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</si>
  <si>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</si>
  <si>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</si>
  <si>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</si>
  <si>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</si>
  <si>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</si>
  <si>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</si>
  <si>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</si>
  <si>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</si>
  <si>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</si>
  <si>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</si>
  <si>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</si>
  <si>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</si>
  <si>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</si>
  <si>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</si>
  <si>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</si>
  <si>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</si>
  <si>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</si>
  <si>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</si>
  <si>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</si>
  <si>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</si>
  <si>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</si>
  <si>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</si>
  <si>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</si>
  <si>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</si>
  <si>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</si>
  <si>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</si>
  <si>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</si>
  <si>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</si>
  <si>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</si>
  <si>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</si>
  <si>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</si>
  <si>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</si>
  <si>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</si>
  <si>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</si>
  <si>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</si>
  <si>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</si>
  <si>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</si>
  <si>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</si>
  <si>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</si>
  <si>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</si>
  <si>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</si>
  <si>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</si>
  <si>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</si>
  <si>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</si>
  <si>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</si>
  <si>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</si>
  <si>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</si>
  <si>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</si>
  <si>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</si>
  <si>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</si>
  <si>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</si>
  <si>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</si>
  <si>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</si>
  <si>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</si>
  <si>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</si>
  <si>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</si>
  <si>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</si>
  <si>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</si>
  <si>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</si>
  <si>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</si>
  <si>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</si>
  <si>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</si>
  <si>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</si>
  <si>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</si>
  <si>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</si>
  <si>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</si>
  <si>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</si>
  <si>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</si>
  <si>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</si>
  <si>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</si>
  <si>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</si>
  <si>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</si>
  <si>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</si>
  <si>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</si>
  <si>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</si>
  <si>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</si>
  <si>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</si>
  <si>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</si>
  <si>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</si>
  <si>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</si>
  <si>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</si>
  <si>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</si>
  <si>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</si>
  <si>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</si>
  <si>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</si>
  <si>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</si>
  <si>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</si>
  <si>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</si>
  <si>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</si>
  <si>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</si>
  <si>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</si>
  <si>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</si>
  <si>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</si>
  <si>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</si>
  <si>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</si>
  <si>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</si>
  <si>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</si>
  <si>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</si>
  <si>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</si>
  <si>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</si>
  <si>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</si>
  <si>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</si>
  <si>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</si>
  <si>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</si>
  <si>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</si>
  <si>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</si>
  <si>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</si>
  <si>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</si>
  <si>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</si>
  <si>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</si>
  <si>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</si>
  <si>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</si>
  <si>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</si>
  <si>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</si>
  <si>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</si>
  <si>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</si>
  <si>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</si>
  <si>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</si>
  <si>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</si>
  <si>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</si>
  <si>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</si>
  <si>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</si>
  <si>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</si>
  <si>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</si>
  <si>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</si>
  <si>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</si>
  <si>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</si>
  <si>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</si>
  <si>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</si>
  <si>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</si>
  <si>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</si>
  <si>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</si>
  <si>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</si>
  <si>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</si>
  <si>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</si>
  <si>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</si>
  <si>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</si>
  <si>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</si>
  <si>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</si>
  <si>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</si>
  <si>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</si>
  <si>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</si>
  <si>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</si>
  <si>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</si>
  <si>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</si>
  <si>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</si>
  <si>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</si>
  <si>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</si>
  <si>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</si>
  <si>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</si>
  <si>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</si>
  <si>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</si>
  <si>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</si>
  <si>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</si>
  <si>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</si>
  <si>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</si>
  <si>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</si>
  <si>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</si>
  <si>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</si>
  <si>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</si>
  <si>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</si>
  <si>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</si>
  <si>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</si>
  <si>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</si>
  <si>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</si>
  <si>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</si>
  <si>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</si>
  <si>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</si>
  <si>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</si>
  <si>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</si>
  <si>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</si>
  <si>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</si>
  <si>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</si>
  <si>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</si>
  <si>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</si>
  <si>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</si>
  <si>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</si>
  <si>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</si>
  <si>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</si>
  <si>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</si>
  <si>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</si>
  <si>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</si>
  <si>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</si>
  <si>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</si>
  <si>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</si>
  <si>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</si>
  <si>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</si>
  <si>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</si>
  <si>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</si>
  <si>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</si>
  <si>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</si>
  <si>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</si>
  <si>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</si>
  <si>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</si>
  <si>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</si>
  <si>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</si>
  <si>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</si>
  <si>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</si>
  <si>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</si>
  <si>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</si>
  <si>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</si>
  <si>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</si>
  <si>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</si>
  <si>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</si>
  <si>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</si>
  <si>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</si>
  <si>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</si>
  <si>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</si>
  <si>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</si>
  <si>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</si>
  <si>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</si>
  <si>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</si>
  <si>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</si>
  <si>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</si>
  <si>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</si>
  <si>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</si>
  <si>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</si>
  <si>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</si>
  <si>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</si>
  <si>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</si>
  <si>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</si>
  <si>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</si>
  <si>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</si>
  <si>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</si>
  <si>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</si>
  <si>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</si>
  <si>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</si>
  <si>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</si>
  <si>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</si>
  <si>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</si>
  <si>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</si>
  <si>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</si>
  <si>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</si>
  <si>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</si>
  <si>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</si>
  <si>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</si>
  <si>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</si>
  <si>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</si>
  <si>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</si>
  <si>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</si>
  <si>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</si>
  <si>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</si>
  <si>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</si>
  <si>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</si>
  <si>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</si>
  <si>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</si>
  <si>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</si>
  <si>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</si>
  <si>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</si>
  <si>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</si>
  <si>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</si>
  <si>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</si>
  <si>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</si>
  <si>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</si>
  <si>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</si>
  <si>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</si>
  <si>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</si>
  <si>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</si>
  <si>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</si>
  <si>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</si>
  <si>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</si>
  <si>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</si>
  <si>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</si>
  <si>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</si>
  <si>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</si>
  <si>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</si>
  <si>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</si>
  <si>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</si>
  <si>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</si>
  <si>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</si>
  <si>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</si>
  <si>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</si>
  <si>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</si>
  <si>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</si>
  <si>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</si>
  <si>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</si>
  <si>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</si>
  <si>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</si>
  <si>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</si>
  <si>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</si>
  <si>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</si>
  <si>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</si>
  <si>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</si>
  <si>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</si>
  <si>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</si>
  <si>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</si>
  <si>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</si>
  <si>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</si>
  <si>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</si>
  <si>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</si>
  <si>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</si>
  <si>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</si>
  <si>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</si>
  <si>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</si>
  <si>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</si>
  <si>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</si>
  <si>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</si>
  <si>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</si>
  <si>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</si>
  <si>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</si>
  <si>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</si>
  <si>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</si>
  <si>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</si>
  <si>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</si>
  <si>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</si>
  <si>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</si>
  <si>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</si>
  <si>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</si>
  <si>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</si>
  <si>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</si>
  <si>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</si>
  <si>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</si>
  <si>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</si>
  <si>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</si>
  <si>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</si>
  <si>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</si>
  <si>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</si>
  <si>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</si>
  <si>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</si>
  <si>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</si>
  <si>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</si>
  <si>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</si>
  <si>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</si>
  <si>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</si>
  <si>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</si>
  <si>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</si>
  <si>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</si>
  <si>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</si>
  <si>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</si>
  <si>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</si>
  <si>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</si>
  <si>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</si>
  <si>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</si>
  <si>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</si>
  <si>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</si>
  <si>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</si>
  <si>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</si>
  <si>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</si>
  <si>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</si>
  <si>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</si>
  <si>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</si>
  <si>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</si>
  <si>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</si>
  <si>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</si>
  <si>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</si>
  <si>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</si>
  <si>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</si>
  <si>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</si>
  <si>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</si>
  <si>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</si>
  <si>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</si>
  <si>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</si>
  <si>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</si>
  <si>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</si>
  <si>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</si>
  <si>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</si>
  <si>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</si>
  <si>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</si>
  <si>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</si>
  <si>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</si>
  <si>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</si>
  <si>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</si>
  <si>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</si>
  <si>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</si>
  <si>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</si>
  <si>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</si>
  <si>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</si>
  <si>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</si>
  <si>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</si>
  <si>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</si>
  <si>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</si>
  <si>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</si>
  <si>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</si>
  <si>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</si>
  <si>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</si>
  <si>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</si>
  <si>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</si>
  <si>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</si>
  <si>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</si>
  <si>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</si>
  <si>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</si>
  <si>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</si>
  <si>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</si>
  <si>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</si>
  <si>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</si>
  <si>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</si>
  <si>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</si>
  <si>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</si>
  <si>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</si>
  <si>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</si>
  <si>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</si>
  <si>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</si>
  <si>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</si>
  <si>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</si>
  <si>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</si>
  <si>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</si>
  <si>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</si>
  <si>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</si>
  <si>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</si>
  <si>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</si>
  <si>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</si>
  <si>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</si>
  <si>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</si>
  <si>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</si>
  <si>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</si>
  <si>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</si>
  <si>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</si>
  <si>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</si>
  <si>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</si>
  <si>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</si>
  <si>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</si>
  <si>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</si>
  <si>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</si>
  <si>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</si>
  <si>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</si>
  <si>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</si>
  <si>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</si>
  <si>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</si>
  <si>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</si>
  <si>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</si>
  <si>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</si>
  <si>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</si>
  <si>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</si>
  <si>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</si>
  <si>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</si>
  <si>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</si>
  <si>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</si>
  <si>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</si>
  <si>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</si>
  <si>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</si>
  <si>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</si>
  <si>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</si>
  <si>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</si>
  <si>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</si>
  <si>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</si>
  <si>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</si>
  <si>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</si>
  <si>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</si>
  <si>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</si>
  <si>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</si>
  <si>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</si>
  <si>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</si>
  <si>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</si>
  <si>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</si>
  <si>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</si>
  <si>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</si>
  <si>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</si>
  <si>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</si>
  <si>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</si>
  <si>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</si>
  <si>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</si>
  <si>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</si>
  <si>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</si>
  <si>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</si>
  <si>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</si>
  <si>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</si>
  <si>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</si>
  <si>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</si>
  <si>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</si>
  <si>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</si>
  <si>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</si>
  <si>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</si>
  <si>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</si>
  <si>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</si>
  <si>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</si>
  <si>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</si>
  <si>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</si>
  <si>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</si>
  <si>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</si>
  <si>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</si>
  <si>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</si>
  <si>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</si>
  <si>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</si>
  <si>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</si>
  <si>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</si>
  <si>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</si>
  <si>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</si>
  <si>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</si>
  <si>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</si>
  <si>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</si>
  <si>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</si>
  <si>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</si>
  <si>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</si>
  <si>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</si>
  <si>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</si>
  <si>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</si>
  <si>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</si>
  <si>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</si>
  <si>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</si>
  <si>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</si>
  <si>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</si>
  <si>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</si>
  <si>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</si>
  <si>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</si>
  <si>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</si>
  <si>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</si>
  <si>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</si>
  <si>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</si>
  <si>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</si>
  <si>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</si>
  <si>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</si>
  <si>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</si>
  <si>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</si>
  <si>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</si>
  <si>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</si>
  <si>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</si>
  <si>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</si>
  <si>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</si>
  <si>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</si>
  <si>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</si>
  <si>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</si>
  <si>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</si>
  <si>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</si>
  <si>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</si>
  <si>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</si>
  <si>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</si>
  <si>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</si>
  <si>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</si>
  <si>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</si>
  <si>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</si>
  <si>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</si>
  <si>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</si>
  <si>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</si>
  <si>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</si>
  <si>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</si>
  <si>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</si>
  <si>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</si>
  <si>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</si>
  <si>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</si>
  <si>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</si>
  <si>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</si>
  <si>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</si>
  <si>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</si>
  <si>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</si>
  <si>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</si>
  <si>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</si>
  <si>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</si>
  <si>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</si>
  <si>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</si>
  <si>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</si>
  <si>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</si>
  <si>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</si>
  <si>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</si>
  <si>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</si>
  <si>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</si>
  <si>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</si>
  <si>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</si>
  <si>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</si>
  <si>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</si>
  <si>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</si>
  <si>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</si>
  <si>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</si>
  <si>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</si>
  <si>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</si>
  <si>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</si>
  <si>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</si>
  <si>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</si>
  <si>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</si>
  <si>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</si>
  <si>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</si>
  <si>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</si>
  <si>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</si>
  <si>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</si>
  <si>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</si>
  <si>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</si>
  <si>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</si>
  <si>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</si>
  <si>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</si>
  <si>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</si>
  <si>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</si>
  <si>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</si>
  <si>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</si>
  <si>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</si>
  <si>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</si>
  <si>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</si>
  <si>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</si>
  <si>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</si>
  <si>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</si>
  <si>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</si>
  <si>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</si>
  <si>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</si>
  <si>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</si>
  <si>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</si>
  <si>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</si>
  <si>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</si>
  <si>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</si>
  <si>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</si>
  <si>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</si>
  <si>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</si>
  <si>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</si>
  <si>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</si>
  <si>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</si>
  <si>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</si>
  <si>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</si>
  <si>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</si>
  <si>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</si>
  <si>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</si>
  <si>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</si>
  <si>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</si>
  <si>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</si>
  <si>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</si>
  <si>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</si>
  <si>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</si>
  <si>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</si>
  <si>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</si>
  <si>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</si>
  <si>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</si>
  <si>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</si>
  <si>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</si>
  <si>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</si>
  <si>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</si>
  <si>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</si>
  <si>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</si>
  <si>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</si>
  <si>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</si>
  <si>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</si>
  <si>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</si>
  <si>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</si>
  <si>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</si>
  <si>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</si>
  <si>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</si>
  <si>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</si>
  <si>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</si>
  <si>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</si>
  <si>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</si>
  <si>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</si>
  <si>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</si>
  <si>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</si>
  <si>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</si>
  <si>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</si>
  <si>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</si>
  <si>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</si>
  <si>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</si>
  <si>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</si>
  <si>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</si>
  <si>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</si>
  <si>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</si>
  <si>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</si>
  <si>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</si>
  <si>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</si>
  <si>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</si>
  <si>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</si>
  <si>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</si>
  <si>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</si>
  <si>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</si>
  <si>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</si>
  <si>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</si>
  <si>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</si>
  <si>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</si>
  <si>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</si>
  <si>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</si>
  <si>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</si>
  <si>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</si>
  <si>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</si>
  <si>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</si>
  <si>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</si>
  <si>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</si>
  <si>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</si>
  <si>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</si>
  <si>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</si>
  <si>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</si>
  <si>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</si>
  <si>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</si>
  <si>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</si>
  <si>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</si>
  <si>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</si>
  <si>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</si>
  <si>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</si>
  <si>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</si>
  <si>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</si>
  <si>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</si>
  <si>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</si>
  <si>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</si>
  <si>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</si>
  <si>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</si>
  <si>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</si>
  <si>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</si>
  <si>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</si>
  <si>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</si>
  <si>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</si>
  <si>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</si>
  <si>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</si>
  <si>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</si>
  <si>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</si>
  <si>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</si>
  <si>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</si>
  <si>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</si>
  <si>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</si>
  <si>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</si>
  <si>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</si>
  <si>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</si>
  <si>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</si>
  <si>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</si>
  <si>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</si>
  <si>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</si>
  <si>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</si>
  <si>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</si>
  <si>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</si>
  <si>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</si>
  <si>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</si>
  <si>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</si>
  <si>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</si>
  <si>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</si>
  <si>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</si>
  <si>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</si>
  <si>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</si>
  <si>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</si>
  <si>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</si>
  <si>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</si>
  <si>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</si>
  <si>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</si>
  <si>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</si>
  <si>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</si>
  <si>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</si>
  <si>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</si>
  <si>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</si>
  <si>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</si>
  <si>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</si>
  <si>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</si>
  <si>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</si>
  <si>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</si>
  <si>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</si>
  <si>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</si>
  <si>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</si>
  <si>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</si>
  <si>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</si>
  <si>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</si>
  <si>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</si>
  <si>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</si>
  <si>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</si>
  <si>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</si>
  <si>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</si>
  <si>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</si>
  <si>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</si>
  <si>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</si>
  <si>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</si>
  <si>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</si>
  <si>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</si>
  <si>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</si>
  <si>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</si>
  <si>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</si>
  <si>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</si>
  <si>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</si>
  <si>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</si>
  <si>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</si>
  <si>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</si>
  <si>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</si>
  <si>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</si>
  <si>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</si>
  <si>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</si>
  <si>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</si>
  <si>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</si>
  <si>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</si>
  <si>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</si>
  <si>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</si>
  <si>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</si>
  <si>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</si>
  <si>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</si>
  <si>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</si>
  <si>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</si>
  <si>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</si>
  <si>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</si>
  <si>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</si>
  <si>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</si>
  <si>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</si>
  <si>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</si>
  <si>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</si>
  <si>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</si>
  <si>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</si>
  <si>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</si>
  <si>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</si>
  <si>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</si>
  <si>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</si>
  <si>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</si>
  <si>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</si>
  <si>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</si>
  <si>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</si>
  <si>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</si>
  <si>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</si>
  <si>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</si>
  <si>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</si>
  <si>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</si>
  <si>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</si>
  <si>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</si>
  <si>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</si>
  <si>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</si>
  <si>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</si>
  <si>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</si>
  <si>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</si>
  <si>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</si>
  <si>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</si>
  <si>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</si>
  <si>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</si>
  <si>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</si>
  <si>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</si>
  <si>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</si>
  <si>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</si>
  <si>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</si>
  <si>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</si>
  <si>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</si>
  <si>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</si>
  <si>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</si>
  <si>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</si>
  <si>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</si>
  <si>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</si>
  <si>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</si>
  <si>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</si>
  <si>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</si>
  <si>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</si>
  <si>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</si>
  <si>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</si>
  <si>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</si>
  <si>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</si>
  <si>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</si>
  <si>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</si>
  <si>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</si>
  <si>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</si>
  <si>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</si>
  <si>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</si>
  <si>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</si>
  <si>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</si>
  <si>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</si>
  <si>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</si>
  <si>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</si>
  <si>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</si>
  <si>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</si>
  <si>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</si>
  <si>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</si>
  <si>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</si>
  <si>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</si>
  <si>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</si>
  <si>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</si>
  <si>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</si>
  <si>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</si>
  <si>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</si>
  <si>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</si>
  <si>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</si>
  <si>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</si>
  <si>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</si>
  <si>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</si>
  <si>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</si>
  <si>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</si>
  <si>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</si>
  <si>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</si>
  <si>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</si>
  <si>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</si>
  <si>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</si>
  <si>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</si>
  <si>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</si>
  <si>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</si>
  <si>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</si>
  <si>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</si>
  <si>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</si>
  <si>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</si>
  <si>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</si>
  <si>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</si>
  <si>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</si>
  <si>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</si>
  <si>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</si>
  <si>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</si>
  <si>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</si>
  <si>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</si>
  <si>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</si>
  <si>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</si>
  <si>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</si>
  <si>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</si>
  <si>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</si>
  <si>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</si>
  <si>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</si>
  <si>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</si>
  <si>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</si>
  <si>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</si>
  <si>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</si>
  <si>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</si>
  <si>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</si>
  <si>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</si>
  <si>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</si>
  <si>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</si>
  <si>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</si>
  <si>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</si>
  <si>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</si>
  <si>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</si>
  <si>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</si>
  <si>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</si>
  <si>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</si>
  <si>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</si>
  <si>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</si>
  <si>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</si>
  <si>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</si>
  <si>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</si>
  <si>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</si>
  <si>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</si>
  <si>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</si>
  <si>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</si>
  <si>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</si>
  <si>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</si>
  <si>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</si>
  <si>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</si>
  <si>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</si>
  <si>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</si>
  <si>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</si>
  <si>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</si>
  <si>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</si>
  <si>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</si>
  <si>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</si>
  <si>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</si>
  <si>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</si>
  <si>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</si>
  <si>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</si>
  <si>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</si>
  <si>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</si>
  <si>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</si>
  <si>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</si>
  <si>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</si>
  <si>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</si>
  <si>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</si>
  <si>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</si>
  <si>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</si>
  <si>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</si>
  <si>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</si>
  <si>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</si>
  <si>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</si>
  <si>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</si>
  <si>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</si>
  <si>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</si>
  <si>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</si>
  <si>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</si>
  <si>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</si>
  <si>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</si>
  <si>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</si>
  <si>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</si>
  <si>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</si>
  <si>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</si>
  <si>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</si>
  <si>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</si>
  <si>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</si>
  <si>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</si>
  <si>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</si>
  <si>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</si>
  <si>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</si>
  <si>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</si>
  <si>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</si>
  <si>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</si>
  <si>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</si>
  <si>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</si>
  <si>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</si>
  <si>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</si>
  <si>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</si>
  <si>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</si>
  <si>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</si>
  <si>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</si>
  <si>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</si>
  <si>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</si>
  <si>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</si>
  <si>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</si>
  <si>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</si>
  <si>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</si>
  <si>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</si>
  <si>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</si>
  <si>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</si>
  <si>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</si>
  <si>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</si>
  <si>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</si>
  <si>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</si>
  <si>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</si>
  <si>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</si>
  <si>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</si>
  <si>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</si>
  <si>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</si>
  <si>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</si>
  <si>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</si>
  <si>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</si>
  <si>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</si>
  <si>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</si>
  <si>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</si>
  <si>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</si>
  <si>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</si>
  <si>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</si>
  <si>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</si>
  <si>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</si>
  <si>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</si>
  <si>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</si>
  <si>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</si>
  <si>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</si>
  <si>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</si>
  <si>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</si>
  <si>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</si>
  <si>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</si>
  <si>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</si>
  <si>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</si>
  <si>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</si>
  <si>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</si>
  <si>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</si>
  <si>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</si>
  <si>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</si>
  <si>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</si>
  <si>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</si>
  <si>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</si>
  <si>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</si>
  <si>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</si>
  <si>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</si>
  <si>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</si>
  <si>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</si>
  <si>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</si>
  <si>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</si>
  <si>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</si>
  <si>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</si>
  <si>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</si>
  <si>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</si>
  <si>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</si>
  <si>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</si>
  <si>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</si>
  <si>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</si>
  <si>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</si>
  <si>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</si>
  <si>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</si>
  <si>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</si>
  <si>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</si>
  <si>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</si>
  <si>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</si>
  <si>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</si>
  <si>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</si>
  <si>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</si>
  <si>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</si>
  <si>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</si>
  <si>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</si>
  <si>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</si>
  <si>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</si>
  <si>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</si>
  <si>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</si>
  <si>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</si>
  <si>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</si>
  <si>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</si>
  <si>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</si>
  <si>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</si>
  <si>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</si>
  <si>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</si>
  <si>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</si>
  <si>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</si>
  <si>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</si>
  <si>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</si>
  <si>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</si>
  <si>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</si>
  <si>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</si>
  <si>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</si>
  <si>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</si>
  <si>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</si>
  <si>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</si>
  <si>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</si>
  <si>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</si>
  <si>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</si>
  <si>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</si>
  <si>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</si>
  <si>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</si>
  <si>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</si>
  <si>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</si>
  <si>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</si>
  <si>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</si>
  <si>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</si>
  <si>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</si>
  <si>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</si>
  <si>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</si>
  <si>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</si>
  <si>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</si>
  <si>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</si>
  <si>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</si>
  <si>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</si>
  <si>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</si>
  <si>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</si>
  <si>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</si>
  <si>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</si>
  <si>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</si>
  <si>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</si>
  <si>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</si>
  <si>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</si>
  <si>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</si>
  <si>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</si>
  <si>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</si>
  <si>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</si>
  <si>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</si>
  <si>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</si>
  <si>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</si>
  <si>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</si>
  <si>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</si>
  <si>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</si>
  <si>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</si>
  <si>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</si>
  <si>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</si>
  <si>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</si>
  <si>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</si>
  <si>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</si>
  <si>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</si>
  <si>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</si>
  <si>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</si>
  <si>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</si>
  <si>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</si>
  <si>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</si>
  <si>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</si>
  <si>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</si>
  <si>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</si>
  <si>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</si>
  <si>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</si>
  <si>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</si>
  <si>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</si>
  <si>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</si>
  <si>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</si>
  <si>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</si>
  <si>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</si>
  <si>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</si>
  <si>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</si>
  <si>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</si>
  <si>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</si>
  <si>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</si>
  <si>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</si>
  <si>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</si>
  <si>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</si>
  <si>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</si>
  <si>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</si>
  <si>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</si>
  <si>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</si>
  <si>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</si>
  <si>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</si>
  <si>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</si>
  <si>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</si>
  <si>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</si>
  <si>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</si>
  <si>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</si>
  <si>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</si>
  <si>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</si>
  <si>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</si>
  <si>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</si>
  <si>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</si>
  <si>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</si>
  <si>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</si>
  <si>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</si>
  <si>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</si>
  <si>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</si>
  <si>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</si>
  <si>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</si>
  <si>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</si>
  <si>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</si>
  <si>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</si>
  <si>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</si>
  <si>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</si>
  <si>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</si>
  <si>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</si>
  <si>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</si>
  <si>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</si>
  <si>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</si>
  <si>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</si>
  <si>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</si>
  <si>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</si>
  <si>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</si>
  <si>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</si>
  <si>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</si>
  <si>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</si>
  <si>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</si>
  <si>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</si>
  <si>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</si>
  <si>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</si>
  <si>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</si>
  <si>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</si>
  <si>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</si>
  <si>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</si>
  <si>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</si>
  <si>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</si>
  <si>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</si>
  <si>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</si>
  <si>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</si>
  <si>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</si>
  <si>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</si>
  <si>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</si>
  <si>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</si>
  <si>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</si>
  <si>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</si>
  <si>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</si>
  <si>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</si>
  <si>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</si>
  <si>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</si>
  <si>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</si>
  <si>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</si>
  <si>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</si>
  <si>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</si>
  <si>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</si>
  <si>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</si>
  <si>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</si>
  <si>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</si>
  <si>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</si>
  <si>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</si>
  <si>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</si>
  <si>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</si>
  <si>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</si>
  <si>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</si>
  <si>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</si>
  <si>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</si>
  <si>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</si>
  <si>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</si>
  <si>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</si>
  <si>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</si>
  <si>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</si>
  <si>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</si>
  <si>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</si>
  <si>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</si>
  <si>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</si>
  <si>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</si>
  <si>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</si>
  <si>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</si>
  <si>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</si>
  <si>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</si>
  <si>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</si>
  <si>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</si>
  <si>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</si>
  <si>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</si>
  <si>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</si>
  <si>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</si>
  <si>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</si>
  <si>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</si>
  <si>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</si>
  <si>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</si>
  <si>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</si>
  <si>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</si>
  <si>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</si>
  <si>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</si>
  <si>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</si>
  <si>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</si>
  <si>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</si>
  <si>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</si>
  <si>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</si>
  <si>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</si>
  <si>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</si>
  <si>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</si>
  <si>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</si>
  <si>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</si>
  <si>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</si>
  <si>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</si>
  <si>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</si>
  <si>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</si>
  <si>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</si>
  <si>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</si>
  <si>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</si>
  <si>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</si>
  <si>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</si>
  <si>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</si>
  <si>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</si>
  <si>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</si>
  <si>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</si>
  <si>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</si>
  <si>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</si>
  <si>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</si>
  <si>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</si>
  <si>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</si>
  <si>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</si>
  <si>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</si>
  <si>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</si>
  <si>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</si>
  <si>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</si>
  <si>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</si>
  <si>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</si>
  <si>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</si>
  <si>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</si>
  <si>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</si>
  <si>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</si>
  <si>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</si>
  <si>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</si>
  <si>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</si>
  <si>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</si>
  <si>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</si>
  <si>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</si>
  <si>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</si>
  <si>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</si>
  <si>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</si>
  <si>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</si>
  <si>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</si>
  <si>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</si>
  <si>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</si>
  <si>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</si>
  <si>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</si>
  <si>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</si>
  <si>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</si>
  <si>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</si>
  <si>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</si>
  <si>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</si>
  <si>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</si>
  <si>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</si>
  <si>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</si>
  <si>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</si>
  <si>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</si>
  <si>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</si>
  <si>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</si>
  <si>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</si>
  <si>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</si>
  <si>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</si>
  <si>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</si>
  <si>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</si>
  <si>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</si>
  <si>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</si>
  <si>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</si>
  <si>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</si>
  <si>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</si>
  <si>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</si>
  <si>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</si>
  <si>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</si>
  <si>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</si>
  <si>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</si>
  <si>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</si>
  <si>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</si>
  <si>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</si>
  <si>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</si>
  <si>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</si>
  <si>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</si>
  <si>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</si>
  <si>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</si>
  <si>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</si>
  <si>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</si>
  <si>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</si>
  <si>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</si>
  <si>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</si>
  <si>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</si>
  <si>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</si>
  <si>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</si>
  <si>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</si>
  <si>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</si>
  <si>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</si>
  <si>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</si>
  <si>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</si>
  <si>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</si>
  <si>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</si>
  <si>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</si>
  <si>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</si>
  <si>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</si>
  <si>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</si>
  <si>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</si>
  <si>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</si>
  <si>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</si>
  <si>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</si>
  <si>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</si>
  <si>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</si>
  <si>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</si>
  <si>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</si>
  <si>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</si>
  <si>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</si>
  <si>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</si>
  <si>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</si>
  <si>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</si>
  <si>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</si>
  <si>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</si>
  <si>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</si>
  <si>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</si>
  <si>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</si>
  <si>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</si>
  <si>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</si>
  <si>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</si>
  <si>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</si>
  <si>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</si>
  <si>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</si>
  <si>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</si>
  <si>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</si>
  <si>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</si>
  <si>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</si>
  <si>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</si>
  <si>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</si>
  <si>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</si>
  <si>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</si>
  <si>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</si>
  <si>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</si>
  <si>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</si>
  <si>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</si>
  <si>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</si>
  <si>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</si>
  <si>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</si>
  <si>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</si>
  <si>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</si>
  <si>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</si>
  <si>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</si>
  <si>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</si>
  <si>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</si>
  <si>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</si>
  <si>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</si>
  <si>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</si>
  <si>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</si>
  <si>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</si>
  <si>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</si>
  <si>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</si>
  <si>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</si>
  <si>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</si>
  <si>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</si>
  <si>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</si>
  <si>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</si>
  <si>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</si>
  <si>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</si>
  <si>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</si>
  <si>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</si>
  <si>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</si>
  <si>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</si>
  <si>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</si>
  <si>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</si>
  <si>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</si>
  <si>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</si>
  <si>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</si>
  <si>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</si>
  <si>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</si>
  <si>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</si>
  <si>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</si>
  <si>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</si>
  <si>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</si>
  <si>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</si>
  <si>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</si>
  <si>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</si>
  <si>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</si>
  <si>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</si>
  <si>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</si>
  <si>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</si>
  <si>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</si>
  <si>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</si>
  <si>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</si>
  <si>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</si>
  <si>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</si>
  <si>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</si>
  <si>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</si>
  <si>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</si>
  <si>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</si>
  <si>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</si>
  <si>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</si>
  <si>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</si>
  <si>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</si>
  <si>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</si>
  <si>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</si>
  <si>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</si>
  <si>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</si>
  <si>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</si>
  <si>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</si>
  <si>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</si>
  <si>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</si>
  <si>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</si>
  <si>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</si>
  <si>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</si>
  <si>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</si>
  <si>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</si>
  <si>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</si>
  <si>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</si>
  <si>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</si>
  <si>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</si>
  <si>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</si>
  <si>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</si>
  <si>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</si>
  <si>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</si>
  <si>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</si>
  <si>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</si>
  <si>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</si>
  <si>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</si>
  <si>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</si>
  <si>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</si>
  <si>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</si>
  <si>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</si>
  <si>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</si>
  <si>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</si>
  <si>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</si>
  <si>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</si>
  <si>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</si>
  <si>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</si>
  <si>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</si>
  <si>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</si>
  <si>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</si>
  <si>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</si>
  <si>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</si>
  <si>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</si>
  <si>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</si>
  <si>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</si>
  <si>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</si>
  <si>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</si>
  <si>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</si>
  <si>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</si>
  <si>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</si>
  <si>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</si>
  <si>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</si>
  <si>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</si>
  <si>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</si>
  <si>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</si>
  <si>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</si>
  <si>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</si>
  <si>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</si>
  <si>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</si>
  <si>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</si>
  <si>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</si>
  <si>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</si>
  <si>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</si>
  <si>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</si>
  <si>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</si>
  <si>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</si>
  <si>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</si>
  <si>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</si>
  <si>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</si>
  <si>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</si>
  <si>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</si>
  <si>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</si>
  <si>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</si>
  <si>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</si>
  <si>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</si>
  <si>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</si>
  <si>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</si>
  <si>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</si>
  <si>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</si>
  <si>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</si>
  <si>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</si>
  <si>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</si>
  <si>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</si>
  <si>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</si>
  <si>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</si>
  <si>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</si>
  <si>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</si>
  <si>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</si>
  <si>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</si>
  <si>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</si>
  <si>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</si>
  <si>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</si>
  <si>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</si>
  <si>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</si>
  <si>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</si>
  <si>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</si>
  <si>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</si>
  <si>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</si>
  <si>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</si>
  <si>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</si>
  <si>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</si>
  <si>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</si>
  <si>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</si>
  <si>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</si>
  <si>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</si>
  <si>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</si>
  <si>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</si>
  <si>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</si>
  <si>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</si>
  <si>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</si>
  <si>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</si>
  <si>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</si>
  <si>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</si>
  <si>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</si>
  <si>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</si>
  <si>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</si>
  <si>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</si>
  <si>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</si>
  <si>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</si>
  <si>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</si>
  <si>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</si>
  <si>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</si>
  <si>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</si>
  <si>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</si>
  <si>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</si>
  <si>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</si>
  <si>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</si>
  <si>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</si>
  <si>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</si>
  <si>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</si>
  <si>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</si>
  <si>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</si>
  <si>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</si>
  <si>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</si>
  <si>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</si>
  <si>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</si>
  <si>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</si>
  <si>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</si>
  <si>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</si>
  <si>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</si>
  <si>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</si>
  <si>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</si>
  <si>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</si>
  <si>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</si>
  <si>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</si>
  <si>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</si>
  <si>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</si>
  <si>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</si>
  <si>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</si>
  <si>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</si>
  <si>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</si>
  <si>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</si>
  <si>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</si>
  <si>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</si>
  <si>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</si>
  <si>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</si>
  <si>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</si>
  <si>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</si>
  <si>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</si>
  <si>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</si>
  <si>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</si>
  <si>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</si>
  <si>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</si>
  <si>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</si>
  <si>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</si>
  <si>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</si>
  <si>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</si>
  <si>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</si>
  <si>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</si>
  <si>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</si>
  <si>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</si>
  <si>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</si>
  <si>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</si>
  <si>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</si>
  <si>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</si>
  <si>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</si>
  <si>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</si>
  <si>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</si>
  <si>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</si>
  <si>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</si>
  <si>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</si>
  <si>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</si>
  <si>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</si>
  <si>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</si>
  <si>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</si>
  <si>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</si>
  <si>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</si>
  <si>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</si>
  <si>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</si>
  <si>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</si>
  <si>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</si>
  <si>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</si>
  <si>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</si>
  <si>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</si>
  <si>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</si>
  <si>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</si>
  <si>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</si>
  <si>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</si>
  <si>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</si>
  <si>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</si>
  <si>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</si>
  <si>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</si>
  <si>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</si>
  <si>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</si>
  <si>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</si>
  <si>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</si>
  <si>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</si>
  <si>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</si>
  <si>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</si>
  <si>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</si>
  <si>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</si>
  <si>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</si>
  <si>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</si>
  <si>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</si>
  <si>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</si>
  <si>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</si>
  <si>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</si>
  <si>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</si>
  <si>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</si>
  <si>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</si>
  <si>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</si>
  <si>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</si>
  <si>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</si>
  <si>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</si>
  <si>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</si>
  <si>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</si>
  <si>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</si>
  <si>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</si>
  <si>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</si>
  <si>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</si>
  <si>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</si>
  <si>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</si>
  <si>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</si>
  <si>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</si>
  <si>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</si>
  <si>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</si>
  <si>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</si>
  <si>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</si>
  <si>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</si>
  <si>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</si>
  <si>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</si>
  <si>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</si>
  <si>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</si>
  <si>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</si>
  <si>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</si>
  <si>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</si>
  <si>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</si>
  <si>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</si>
  <si>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</si>
  <si>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</si>
  <si>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</si>
  <si>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</si>
  <si>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</si>
  <si>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</si>
  <si>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</si>
  <si>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</si>
  <si>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</si>
  <si>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</si>
  <si>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</si>
  <si>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</si>
  <si>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</si>
  <si>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</si>
  <si>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</si>
  <si>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</si>
  <si>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</si>
  <si>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</si>
  <si>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</si>
  <si>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</si>
  <si>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</si>
  <si>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</si>
  <si>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</si>
  <si>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</si>
  <si>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</si>
  <si>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</si>
  <si>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</si>
  <si>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</si>
  <si>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</si>
  <si>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</si>
  <si>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</si>
  <si>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</si>
  <si>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</si>
  <si>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</si>
  <si>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</si>
  <si>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</si>
  <si>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</si>
  <si>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</si>
  <si>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</si>
  <si>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</si>
  <si>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</si>
  <si>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</si>
  <si>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</si>
  <si>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</si>
  <si>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</si>
  <si>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</si>
  <si>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</si>
  <si>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</si>
  <si>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</si>
  <si>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</si>
  <si>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</si>
  <si>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</si>
  <si>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</si>
  <si>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</si>
  <si>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</si>
  <si>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</si>
  <si>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</si>
  <si>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</si>
  <si>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</si>
  <si>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</si>
  <si>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</si>
  <si>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</si>
  <si>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</si>
  <si>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</si>
  <si>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</si>
  <si>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</si>
  <si>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</si>
  <si>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</si>
  <si>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</si>
  <si>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</si>
  <si>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</si>
  <si>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</si>
  <si>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</si>
  <si>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</si>
  <si>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</si>
  <si>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</si>
  <si>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</si>
  <si>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</si>
  <si>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</si>
  <si>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</si>
  <si>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</si>
  <si>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</si>
  <si>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</si>
  <si>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</si>
  <si>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</si>
  <si>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</si>
  <si>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</si>
  <si>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</si>
  <si>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</si>
  <si>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</si>
  <si>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</si>
  <si>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</si>
  <si>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</si>
  <si>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</si>
  <si>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</si>
  <si>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</si>
  <si>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</si>
  <si>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</si>
  <si>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</si>
  <si>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</si>
  <si>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</si>
  <si>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</si>
  <si>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</si>
  <si>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</si>
  <si>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</si>
  <si>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</si>
  <si>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</si>
  <si>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</si>
  <si>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</si>
  <si>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</si>
  <si>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</si>
  <si>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</si>
  <si>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</si>
  <si>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</si>
  <si>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</si>
  <si>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</si>
  <si>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</si>
  <si>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</si>
  <si>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</si>
  <si>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</si>
  <si>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</si>
  <si>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</si>
  <si>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</si>
  <si>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</si>
  <si>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</si>
  <si>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</si>
  <si>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</si>
  <si>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</si>
  <si>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</si>
  <si>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</si>
  <si>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</si>
  <si>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</si>
  <si>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</si>
  <si>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</si>
  <si>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</si>
  <si>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</si>
  <si>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</si>
  <si>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</si>
  <si>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</si>
  <si>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</si>
  <si>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</si>
  <si>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</si>
  <si>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</si>
  <si>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</si>
  <si>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</si>
  <si>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</si>
  <si>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</si>
  <si>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</si>
  <si>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</si>
  <si>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</si>
  <si>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</si>
  <si>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</si>
  <si>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</si>
  <si>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</si>
  <si>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</si>
  <si>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</si>
  <si>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</si>
  <si>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</si>
  <si>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</si>
  <si>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</si>
  <si>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</si>
  <si>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</si>
  <si>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</si>
  <si>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</si>
  <si>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</si>
  <si>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</si>
  <si>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</si>
  <si>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</si>
  <si>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</si>
  <si>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</si>
  <si>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</si>
  <si>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</si>
  <si>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</si>
  <si>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</si>
  <si>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</si>
  <si>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</si>
  <si>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</si>
  <si>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</si>
  <si>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</si>
  <si>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</si>
  <si>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</si>
  <si>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</si>
  <si>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</si>
  <si>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</si>
  <si>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</si>
  <si>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</si>
  <si>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</si>
  <si>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</si>
  <si>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</si>
  <si>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</si>
  <si>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</si>
  <si>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</si>
  <si>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</si>
  <si>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</si>
  <si>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</si>
  <si>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</si>
  <si>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</si>
  <si>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</si>
  <si>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</si>
  <si>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</si>
  <si>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</si>
  <si>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</si>
  <si>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</si>
  <si>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</si>
  <si>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</si>
  <si>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</si>
  <si>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</si>
  <si>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</si>
  <si>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</si>
  <si>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</si>
  <si>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</si>
  <si>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</si>
  <si>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</si>
  <si>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</si>
  <si>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</si>
  <si>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</si>
  <si>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</si>
  <si>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</si>
  <si>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</si>
  <si>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</si>
  <si>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</si>
  <si>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</si>
  <si>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</si>
  <si>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</si>
  <si>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</si>
  <si>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</si>
  <si>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</si>
  <si>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</si>
  <si>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</si>
  <si>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</si>
  <si>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</si>
  <si>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</si>
  <si>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</si>
  <si>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</si>
  <si>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</si>
  <si>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</si>
  <si>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</si>
  <si>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</si>
  <si>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</si>
  <si>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</si>
  <si>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</si>
  <si>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</si>
  <si>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</si>
  <si>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</si>
  <si>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</si>
  <si>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</si>
  <si>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</si>
  <si>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</si>
  <si>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</si>
  <si>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</si>
  <si>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</si>
  <si>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</si>
  <si>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</si>
  <si>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</si>
  <si>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</si>
  <si>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</si>
  <si>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</si>
  <si>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</si>
  <si>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</si>
  <si>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</si>
  <si>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</si>
  <si>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</si>
  <si>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</si>
  <si>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</si>
  <si>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</si>
  <si>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</si>
  <si>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</si>
  <si>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</si>
  <si>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</si>
  <si>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</si>
  <si>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</si>
  <si>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</si>
  <si>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</si>
  <si>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</si>
  <si>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</si>
  <si>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</si>
  <si>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</si>
  <si>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</si>
  <si>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</si>
  <si>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</si>
  <si>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</si>
  <si>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</si>
  <si>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</si>
  <si>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</si>
  <si>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</si>
  <si>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</si>
  <si>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</si>
  <si>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</si>
  <si>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</si>
  <si>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</si>
  <si>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</si>
  <si>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</si>
  <si>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</si>
  <si>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</si>
  <si>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</si>
  <si>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</si>
  <si>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</si>
  <si>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</si>
  <si>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</si>
  <si>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</si>
  <si>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</si>
  <si>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</si>
  <si>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</si>
  <si>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</si>
  <si>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</si>
  <si>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</si>
  <si>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</si>
  <si>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</si>
  <si>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</si>
  <si>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</si>
  <si>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</si>
  <si>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</si>
  <si>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</si>
  <si>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</si>
  <si>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</si>
  <si>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</si>
  <si>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</si>
  <si>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</si>
  <si>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</si>
  <si>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</si>
  <si>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</si>
  <si>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</si>
  <si>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</si>
  <si>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</si>
  <si>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</si>
  <si>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</si>
  <si>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</si>
  <si>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</si>
  <si>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</si>
  <si>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</si>
  <si>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</si>
  <si>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</si>
  <si>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</si>
  <si>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</si>
  <si>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</si>
  <si>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</si>
  <si>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</si>
  <si>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</si>
  <si>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</si>
  <si>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</si>
  <si>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</si>
  <si>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</si>
  <si>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</si>
  <si>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</si>
  <si>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</si>
  <si>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</si>
  <si>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</si>
  <si>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</si>
  <si>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</si>
  <si>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</si>
  <si>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</si>
  <si>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</si>
  <si>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</si>
  <si>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</si>
  <si>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</si>
  <si>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</si>
  <si>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</si>
  <si>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</si>
  <si>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</si>
  <si>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</si>
  <si>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</si>
  <si>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</si>
  <si>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</si>
  <si>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</si>
  <si>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</si>
  <si>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</si>
  <si>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</si>
  <si>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</si>
  <si>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</si>
  <si>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</si>
  <si>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</si>
  <si>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</si>
  <si>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</si>
  <si>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</si>
  <si>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</si>
  <si>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</si>
  <si>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</si>
  <si>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</si>
  <si>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</si>
  <si>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</si>
  <si>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</si>
  <si>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</si>
  <si>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</si>
  <si>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</si>
  <si>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</si>
  <si>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</si>
  <si>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</si>
  <si>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</si>
  <si>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</si>
  <si>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</si>
  <si>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</si>
  <si>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</si>
  <si>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</si>
  <si>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</si>
  <si>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</si>
  <si>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</si>
  <si>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</si>
  <si>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</si>
  <si>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</si>
  <si>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</si>
  <si>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</si>
  <si>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</si>
  <si>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</si>
  <si>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</si>
  <si>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</si>
  <si>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</si>
  <si>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</si>
  <si>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</si>
  <si>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</si>
  <si>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</si>
  <si>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</si>
  <si>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</si>
  <si>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</si>
  <si>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</si>
  <si>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</si>
  <si>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</si>
  <si>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</si>
  <si>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</si>
  <si>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</si>
  <si>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</si>
  <si>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</si>
  <si>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</si>
  <si>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</si>
  <si>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</si>
  <si>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</si>
  <si>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</si>
  <si>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</si>
  <si>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</si>
  <si>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</si>
  <si>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</si>
  <si>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</si>
  <si>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</si>
  <si>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</si>
  <si>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</si>
  <si>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</si>
  <si>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</si>
  <si>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</si>
  <si>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</si>
  <si>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</si>
  <si>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</si>
  <si>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</si>
  <si>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</si>
  <si>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</si>
  <si>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</si>
  <si>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</si>
  <si>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</si>
  <si>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</si>
  <si>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</si>
  <si>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</si>
  <si>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</si>
  <si>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</si>
  <si>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</si>
  <si>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</si>
  <si>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</si>
  <si>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</si>
  <si>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</si>
  <si>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</si>
  <si>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</si>
  <si>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</si>
  <si>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</si>
  <si>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</si>
  <si>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</si>
  <si>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</si>
  <si>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</si>
  <si>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</si>
  <si>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</si>
  <si>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</si>
  <si>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</si>
  <si>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</si>
  <si>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</si>
  <si>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</si>
  <si>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</si>
  <si>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</si>
  <si>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</si>
  <si>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</si>
  <si>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</si>
  <si>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</si>
  <si>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</si>
  <si>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</si>
  <si>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</si>
  <si>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</si>
  <si>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</si>
  <si>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</si>
  <si>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</si>
  <si>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</si>
  <si>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</si>
  <si>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</si>
  <si>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</si>
  <si>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</si>
  <si>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</si>
  <si>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</si>
  <si>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</si>
  <si>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</si>
  <si>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</si>
  <si>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</si>
  <si>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</si>
  <si>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</si>
  <si>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</si>
  <si>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</si>
  <si>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</si>
  <si>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</si>
  <si>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</si>
  <si>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</si>
  <si>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</si>
  <si>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</si>
  <si>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</si>
  <si>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</si>
  <si>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</si>
  <si>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</si>
  <si>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</si>
  <si>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</si>
  <si>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</si>
  <si>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</si>
  <si>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</si>
  <si>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</si>
  <si>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</si>
  <si>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</si>
  <si>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</si>
  <si>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</si>
  <si>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</si>
  <si>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</si>
  <si>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</si>
  <si>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</si>
  <si>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</si>
  <si>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</si>
  <si>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</si>
  <si>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</si>
  <si>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</si>
  <si>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</si>
  <si>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</si>
  <si>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</si>
  <si>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</si>
  <si>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</si>
  <si>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</si>
  <si>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</si>
  <si>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</si>
  <si>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</si>
  <si>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</si>
  <si>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</si>
  <si>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</si>
  <si>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</si>
  <si>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</si>
  <si>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</si>
  <si>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</si>
  <si>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</si>
  <si>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</si>
  <si>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</si>
  <si>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</si>
  <si>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</si>
  <si>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</si>
  <si>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</si>
  <si>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</si>
  <si>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</si>
  <si>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</si>
  <si>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</si>
  <si>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</si>
  <si>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</si>
  <si>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</si>
  <si>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</si>
  <si>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</si>
  <si>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</si>
  <si>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</si>
  <si>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</si>
  <si>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</si>
  <si>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</si>
  <si>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</si>
  <si>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</si>
  <si>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</si>
  <si>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</si>
  <si>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</si>
  <si>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</si>
  <si>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</si>
  <si>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</si>
  <si>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</si>
  <si>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</si>
  <si>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</si>
  <si>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</si>
  <si>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</si>
  <si>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</si>
  <si>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</si>
  <si>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</si>
  <si>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</si>
  <si>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</si>
  <si>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</si>
  <si>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</si>
  <si>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</si>
  <si>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</si>
  <si>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</si>
  <si>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</si>
  <si>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</si>
  <si>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</si>
  <si>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</si>
  <si>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</si>
  <si>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</si>
  <si>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</si>
  <si>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</si>
  <si>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</si>
  <si>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</si>
  <si>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</si>
  <si>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</si>
  <si>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</si>
  <si>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</si>
  <si>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</si>
  <si>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</si>
  <si>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</si>
  <si>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</si>
  <si>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</si>
  <si>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</si>
  <si>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</si>
  <si>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</si>
  <si>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</si>
  <si>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</si>
  <si>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</si>
  <si>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</si>
  <si>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</si>
  <si>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</si>
  <si>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</si>
  <si>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</si>
  <si>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</si>
  <si>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</si>
  <si>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</si>
  <si>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</si>
  <si>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</si>
  <si>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</si>
  <si>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</si>
  <si>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</si>
  <si>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</si>
  <si>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</si>
  <si>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</si>
  <si>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</si>
  <si>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</si>
  <si>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</si>
  <si>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</si>
  <si>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</si>
  <si>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</si>
  <si>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</si>
  <si>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</si>
  <si>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</si>
  <si>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</si>
  <si>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</si>
  <si>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</si>
  <si>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</si>
  <si>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</si>
  <si>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</si>
  <si>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</si>
  <si>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</si>
  <si>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</si>
  <si>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</si>
  <si>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</si>
  <si>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</si>
  <si>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</si>
  <si>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</si>
  <si>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</si>
  <si>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</si>
  <si>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</si>
  <si>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</si>
  <si>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</si>
  <si>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</si>
  <si>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</si>
  <si>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</si>
  <si>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</si>
  <si>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</si>
  <si>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</si>
  <si>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</si>
  <si>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</si>
  <si>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</si>
  <si>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</si>
  <si>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</si>
  <si>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</si>
  <si>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</si>
  <si>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</si>
  <si>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</si>
  <si>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</si>
  <si>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</si>
  <si>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</si>
  <si>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</si>
  <si>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</si>
  <si>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</si>
  <si>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</si>
  <si>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</si>
  <si>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</si>
  <si>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</si>
  <si>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</si>
  <si>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</si>
  <si>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</si>
  <si>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</si>
  <si>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</si>
  <si>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</si>
  <si>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</si>
  <si>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</si>
  <si>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</si>
  <si>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</si>
  <si>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</si>
  <si>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</si>
  <si>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</si>
  <si>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</si>
  <si>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</si>
  <si>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</si>
  <si>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</si>
  <si>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</si>
  <si>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</si>
  <si>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</si>
  <si>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</si>
  <si>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</si>
  <si>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</si>
  <si>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</si>
  <si>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</si>
  <si>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</si>
  <si>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</si>
  <si>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</si>
  <si>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</si>
  <si>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</si>
  <si>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</si>
  <si>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</si>
  <si>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</si>
  <si>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</si>
  <si>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</si>
  <si>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</si>
  <si>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</si>
  <si>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</si>
  <si>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</si>
  <si>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</si>
  <si>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</si>
  <si>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</si>
  <si>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</si>
  <si>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</si>
  <si>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</si>
  <si>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</si>
  <si>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</si>
  <si>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</si>
  <si>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</si>
  <si>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</si>
  <si>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</si>
  <si>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</si>
  <si>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</si>
  <si>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</si>
  <si>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</si>
  <si>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</si>
  <si>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</si>
  <si>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</si>
  <si>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</si>
  <si>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</si>
  <si>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</si>
  <si>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</si>
  <si>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</si>
  <si>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</si>
  <si>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</si>
  <si>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</si>
  <si>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</si>
  <si>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</si>
  <si>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</si>
  <si>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</si>
  <si>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</si>
  <si>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</si>
  <si>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</si>
  <si>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</si>
  <si>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</si>
  <si>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</si>
  <si>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</si>
  <si>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</si>
  <si>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</si>
  <si>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</si>
  <si>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</si>
  <si>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</si>
  <si>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</si>
  <si>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</si>
  <si>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</si>
  <si>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</si>
  <si>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</si>
  <si>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</si>
  <si>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</si>
  <si>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</si>
  <si>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</si>
  <si>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</si>
  <si>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</si>
  <si>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</si>
  <si>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</si>
  <si>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</si>
  <si>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</si>
  <si>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</si>
  <si>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</si>
  <si>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</si>
  <si>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</si>
  <si>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</si>
  <si>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</si>
  <si>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</si>
  <si>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</si>
  <si>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</si>
  <si>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</si>
  <si>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</si>
  <si>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</si>
  <si>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</si>
  <si>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</si>
  <si>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</si>
  <si>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</si>
  <si>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</si>
  <si>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</si>
  <si>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</si>
  <si>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</si>
  <si>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</si>
  <si>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</si>
  <si>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</si>
  <si>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</si>
  <si>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</si>
  <si>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</si>
  <si>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</si>
  <si>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</si>
  <si>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</si>
  <si>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</si>
  <si>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</si>
  <si>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</si>
  <si>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</si>
  <si>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</si>
  <si>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</si>
  <si>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</si>
  <si>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</si>
  <si>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</si>
  <si>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</si>
  <si>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</si>
  <si>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</si>
  <si>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</si>
  <si>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</si>
  <si>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</si>
  <si>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</si>
  <si>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</si>
  <si>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</si>
  <si>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</si>
  <si>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</si>
  <si>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</si>
  <si>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</si>
  <si>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</si>
  <si>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</si>
  <si>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</si>
  <si>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</si>
  <si>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</si>
  <si>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</si>
  <si>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</si>
  <si>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</si>
  <si>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</si>
  <si>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</si>
  <si>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</si>
  <si>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</si>
  <si>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</si>
  <si>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</si>
  <si>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</si>
  <si>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</si>
  <si>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</si>
  <si>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</si>
  <si>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</si>
  <si>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</si>
  <si>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</si>
  <si>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</si>
  <si>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</si>
  <si>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</si>
  <si>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</si>
  <si>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</si>
  <si>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</si>
  <si>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</si>
  <si>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</si>
  <si>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</si>
  <si>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</si>
  <si>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</si>
  <si>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</si>
  <si>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</si>
  <si>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</si>
  <si>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</si>
  <si>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</si>
  <si>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</si>
  <si>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</si>
  <si>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</si>
  <si>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</si>
  <si>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</si>
  <si>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</si>
  <si>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</si>
  <si>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</si>
  <si>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</si>
  <si>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</si>
  <si>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</si>
  <si>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</si>
  <si>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</si>
  <si>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</si>
  <si>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</si>
  <si>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</si>
  <si>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</si>
  <si>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</si>
  <si>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</si>
  <si>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</si>
  <si>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</si>
  <si>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</si>
  <si>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</si>
  <si>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</si>
  <si>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</si>
  <si>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</si>
  <si>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</si>
  <si>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</si>
  <si>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</si>
  <si>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</si>
  <si>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</si>
  <si>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</si>
  <si>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</si>
  <si>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</si>
  <si>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</si>
  <si>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</si>
  <si>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</si>
  <si>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</si>
  <si>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</si>
  <si>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</si>
  <si>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</si>
  <si>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</si>
  <si>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</si>
  <si>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</si>
  <si>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</si>
  <si>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</si>
  <si>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</si>
  <si>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</si>
  <si>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</si>
  <si>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</si>
  <si>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</si>
  <si>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</si>
  <si>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</si>
  <si>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</si>
  <si>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</si>
  <si>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</si>
  <si>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</si>
  <si>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</si>
  <si>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</si>
  <si>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</si>
  <si>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</si>
  <si>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</si>
  <si>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</si>
  <si>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</si>
  <si>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</si>
  <si>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</si>
  <si>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</si>
  <si>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</si>
  <si>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</si>
  <si>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</si>
  <si>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</si>
  <si>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</si>
  <si>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</si>
  <si>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</si>
  <si>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</si>
  <si>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</si>
  <si>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</si>
  <si>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</si>
  <si>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</si>
  <si>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</si>
  <si>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</si>
  <si>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</si>
  <si>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</si>
  <si>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</si>
  <si>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</si>
  <si>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</si>
  <si>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</si>
  <si>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</si>
  <si>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</si>
  <si>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</si>
  <si>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</si>
  <si>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</si>
  <si>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</si>
  <si>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</si>
  <si>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</si>
  <si>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</si>
  <si>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</si>
  <si>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</si>
  <si>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</si>
  <si>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</si>
  <si>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</si>
  <si>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</si>
  <si>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</si>
  <si>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</si>
  <si>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</si>
  <si>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</si>
  <si>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</si>
  <si>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</si>
  <si>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</si>
  <si>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</si>
  <si>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</si>
  <si>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</si>
  <si>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</si>
  <si>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</si>
  <si>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</si>
  <si>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</si>
  <si>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</si>
  <si>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</si>
  <si>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</si>
  <si>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</si>
  <si>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</si>
  <si>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</si>
  <si>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</si>
  <si>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</si>
  <si>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</si>
  <si>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</si>
  <si>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</si>
  <si>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</si>
  <si>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</si>
  <si>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</si>
  <si>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</si>
  <si>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</si>
  <si>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</si>
  <si>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</si>
  <si>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</si>
  <si>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</si>
  <si>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</si>
  <si>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</si>
  <si>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</si>
  <si>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</si>
  <si>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</si>
  <si>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</si>
  <si>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</si>
  <si>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</si>
  <si>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</si>
  <si>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</si>
  <si>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</si>
  <si>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</si>
  <si>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</si>
  <si>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</si>
  <si>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</si>
  <si>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</si>
  <si>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</si>
  <si>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</si>
  <si>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</si>
  <si>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</si>
  <si>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</si>
  <si>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</si>
  <si>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</si>
  <si>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</si>
  <si>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</si>
  <si>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</si>
  <si>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</si>
  <si>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</si>
  <si>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</si>
  <si>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</si>
  <si>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</si>
  <si>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</si>
  <si>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</si>
  <si>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</si>
  <si>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</si>
  <si>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</si>
  <si>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</si>
  <si>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</si>
  <si>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</si>
  <si>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</si>
  <si>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</si>
  <si>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</si>
  <si>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</si>
  <si>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</si>
  <si>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</si>
  <si>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</si>
  <si>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</si>
  <si>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</si>
  <si>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</si>
  <si>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</si>
  <si>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</si>
  <si>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</si>
  <si>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</si>
  <si>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</si>
  <si>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</si>
  <si>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</si>
  <si>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</si>
  <si>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</si>
  <si>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</si>
  <si>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</si>
  <si>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</si>
  <si>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</si>
  <si>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</si>
  <si>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</si>
  <si>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</si>
  <si>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</si>
  <si>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</si>
  <si>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</si>
  <si>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</si>
  <si>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</si>
  <si>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</si>
  <si>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</si>
  <si>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</si>
  <si>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</si>
  <si>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</si>
  <si>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</si>
  <si>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</si>
  <si>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</si>
  <si>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</si>
  <si>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</si>
  <si>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</si>
  <si>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</si>
  <si>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</si>
  <si>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</si>
  <si>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</si>
  <si>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</si>
  <si>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</si>
  <si>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</si>
  <si>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</si>
  <si>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</si>
  <si>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</si>
  <si>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</si>
  <si>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</si>
  <si>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</si>
  <si>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</si>
  <si>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</si>
  <si>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</si>
  <si>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</si>
  <si>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</si>
  <si>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</si>
  <si>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</si>
  <si>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</si>
  <si>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</si>
  <si>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</si>
  <si>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</si>
  <si>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</si>
  <si>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</si>
  <si>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</si>
  <si>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</si>
  <si>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</si>
  <si>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</si>
  <si>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</si>
  <si>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</si>
  <si>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</si>
  <si>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</si>
  <si>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</si>
  <si>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</si>
  <si>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</si>
  <si>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</si>
  <si>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</si>
  <si>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</si>
  <si>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</si>
  <si>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</si>
  <si>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</si>
  <si>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</si>
  <si>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</si>
  <si>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</si>
  <si>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</si>
  <si>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</si>
  <si>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</si>
  <si>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</si>
  <si>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</si>
  <si>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</si>
  <si>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</si>
  <si>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</si>
  <si>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</si>
  <si>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</si>
  <si>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</si>
  <si>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</si>
  <si>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</si>
  <si>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</si>
  <si>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</si>
  <si>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</si>
  <si>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</si>
  <si>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</si>
  <si>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</si>
  <si>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</si>
  <si>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</si>
  <si>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</si>
  <si>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</si>
  <si>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</si>
  <si>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</si>
  <si>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</si>
  <si>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</si>
  <si>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</si>
  <si>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</si>
  <si>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</si>
  <si>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</si>
  <si>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</si>
  <si>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</si>
  <si>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</si>
  <si>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</si>
  <si>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</si>
  <si>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</si>
  <si>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</si>
  <si>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</si>
  <si>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</si>
  <si>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</si>
  <si>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</si>
  <si>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</si>
  <si>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</si>
  <si>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</si>
  <si>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</si>
  <si>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</si>
  <si>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</si>
  <si>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</si>
  <si>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</si>
  <si>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</si>
  <si>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</si>
  <si>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</si>
  <si>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</si>
  <si>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</si>
  <si>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</si>
  <si>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</si>
  <si>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</si>
  <si>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</si>
  <si>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</si>
  <si>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</si>
  <si>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</si>
  <si>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</si>
  <si>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</si>
  <si>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</si>
  <si>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</si>
  <si>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</si>
  <si>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</si>
  <si>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</si>
  <si>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</si>
  <si>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</si>
  <si>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</si>
  <si>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</si>
  <si>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</si>
  <si>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</si>
  <si>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</si>
  <si>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</si>
  <si>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</si>
  <si>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</si>
  <si>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</si>
  <si>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</si>
  <si>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</si>
  <si>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</si>
  <si>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</si>
  <si>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</si>
  <si>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</si>
  <si>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</si>
  <si>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</si>
  <si>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</si>
  <si>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</si>
  <si>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</si>
  <si>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</si>
  <si>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</si>
  <si>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</si>
  <si>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</si>
  <si>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</si>
  <si>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</si>
  <si>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</si>
  <si>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</si>
  <si>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</si>
  <si>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</si>
  <si>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</si>
  <si>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</si>
  <si>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</si>
  <si>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</si>
  <si>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</si>
  <si>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</si>
  <si>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</si>
  <si>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</si>
  <si>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</si>
  <si>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</si>
  <si>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</si>
  <si>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</si>
  <si>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</si>
  <si>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</si>
  <si>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</si>
  <si>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</si>
  <si>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</si>
  <si>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</si>
  <si>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</si>
  <si>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</si>
  <si>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</si>
  <si>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</si>
  <si>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</si>
  <si>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</si>
  <si>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</si>
  <si>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</si>
  <si>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</si>
  <si>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</si>
  <si>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</si>
  <si>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</si>
  <si>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</si>
  <si>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</si>
  <si>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</si>
  <si>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</si>
  <si>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</si>
  <si>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</si>
  <si>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</si>
  <si>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</si>
  <si>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</si>
  <si>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</si>
  <si>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</si>
  <si>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</si>
  <si>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</si>
  <si>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</si>
  <si>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</si>
  <si>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</si>
  <si>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</si>
  <si>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</si>
  <si>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</si>
  <si>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</si>
  <si>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</si>
  <si>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</si>
  <si>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</si>
  <si>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</si>
  <si>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</si>
  <si>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</si>
  <si>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</si>
  <si>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</si>
  <si>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</si>
  <si>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</si>
  <si>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</si>
  <si>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</si>
  <si>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</si>
  <si>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</si>
  <si>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</si>
  <si>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</si>
  <si>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</si>
  <si>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</si>
  <si>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</si>
  <si>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</si>
  <si>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</si>
  <si>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</si>
  <si>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</si>
  <si>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</si>
  <si>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</si>
  <si>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</si>
  <si>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</si>
  <si>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</si>
  <si>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</si>
  <si>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</si>
  <si>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</si>
  <si>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</si>
  <si>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</si>
  <si>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</si>
  <si>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</si>
  <si>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</si>
  <si>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</si>
  <si>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</si>
  <si>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</si>
  <si>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</si>
  <si>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</si>
  <si>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</si>
  <si>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</si>
  <si>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</si>
  <si>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</si>
  <si>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</si>
  <si>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</si>
  <si>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</si>
  <si>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</si>
  <si>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</si>
  <si>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</si>
  <si>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</si>
  <si>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</si>
  <si>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</si>
  <si>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</si>
  <si>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</si>
  <si>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</si>
  <si>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</si>
  <si>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</si>
  <si>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</si>
  <si>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</si>
  <si>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</si>
  <si>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</si>
  <si>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</si>
  <si>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</si>
  <si>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</si>
  <si>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</si>
  <si>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</si>
  <si>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</si>
  <si>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</si>
  <si>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</si>
  <si>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</si>
  <si>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</si>
  <si>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</si>
  <si>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</si>
  <si>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</si>
  <si>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</si>
  <si>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</si>
  <si>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</si>
  <si>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</si>
  <si>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</si>
  <si>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</si>
  <si>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</si>
  <si>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</si>
  <si>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</si>
  <si>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</si>
  <si>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</si>
  <si>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</si>
  <si>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</si>
  <si>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</si>
  <si>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</si>
  <si>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</si>
  <si>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</si>
  <si>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</si>
  <si>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</si>
  <si>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</si>
  <si>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</si>
  <si>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</si>
  <si>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</si>
  <si>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</si>
  <si>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</si>
  <si>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</si>
  <si>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</si>
  <si>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</si>
  <si>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</si>
  <si>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</si>
  <si>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</si>
  <si>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</si>
  <si>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</si>
  <si>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</si>
  <si>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</si>
  <si>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</si>
  <si>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</si>
  <si>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</si>
  <si>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</si>
  <si>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</si>
  <si>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</si>
  <si>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</si>
  <si>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</si>
  <si>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</si>
  <si>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</si>
  <si>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</si>
  <si>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</si>
  <si>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</si>
  <si>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</si>
  <si>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</si>
  <si>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</si>
  <si>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</si>
  <si>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</si>
  <si>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</si>
  <si>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</si>
  <si>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</si>
  <si>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</si>
  <si>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</si>
  <si>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</si>
  <si>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</si>
  <si>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</si>
  <si>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</si>
  <si>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</si>
  <si>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</si>
  <si>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</si>
  <si>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</si>
  <si>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</si>
  <si>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</si>
  <si>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</si>
  <si>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</si>
  <si>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</si>
  <si>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</si>
  <si>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</si>
  <si>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</si>
  <si>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</si>
  <si>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</si>
  <si>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</si>
  <si>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</si>
  <si>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</si>
  <si>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</si>
  <si>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</si>
  <si>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</si>
  <si>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</si>
  <si>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</si>
  <si>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</si>
  <si>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</si>
  <si>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</si>
  <si>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</si>
  <si>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</si>
  <si>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</si>
  <si>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</si>
  <si>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</si>
  <si>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</si>
  <si>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</si>
  <si>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</si>
  <si>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</si>
  <si>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</si>
  <si>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</si>
  <si>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</si>
  <si>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</si>
  <si>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</si>
  <si>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</si>
  <si>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</si>
  <si>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</si>
  <si>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</si>
  <si>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</si>
  <si>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</si>
  <si>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</si>
  <si>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</si>
  <si>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</si>
  <si>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</si>
  <si>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</si>
  <si>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</si>
  <si>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</si>
  <si>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</si>
  <si>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</si>
  <si>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</si>
  <si>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</si>
  <si>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</si>
  <si>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</si>
  <si>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</si>
  <si>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</si>
  <si>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</si>
  <si>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</si>
  <si>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</si>
  <si>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</si>
  <si>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</si>
  <si>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</si>
  <si>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</si>
  <si>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</si>
  <si>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</si>
  <si>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</si>
  <si>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</si>
  <si>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</si>
  <si>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</si>
  <si>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</si>
  <si>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</si>
  <si>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</si>
  <si>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</si>
  <si>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</si>
  <si>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</si>
  <si>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</si>
  <si>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</si>
  <si>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</si>
  <si>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</si>
  <si>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</si>
  <si>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</si>
  <si>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</si>
  <si>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</si>
  <si>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</si>
  <si>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</si>
  <si>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</si>
  <si>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</si>
  <si>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</si>
  <si>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</si>
  <si>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</si>
  <si>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</si>
  <si>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</si>
  <si>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</si>
  <si>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</si>
  <si>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</si>
  <si>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</si>
  <si>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</si>
  <si>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</si>
  <si>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</si>
  <si>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</si>
  <si>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</si>
  <si>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</si>
  <si>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</si>
  <si>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</si>
  <si>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</si>
  <si>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</si>
  <si>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</si>
  <si>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</si>
  <si>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</si>
  <si>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</si>
  <si>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</si>
  <si>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</si>
  <si>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</si>
  <si>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</si>
  <si>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</si>
  <si>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</si>
  <si>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</si>
  <si>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</si>
  <si>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</si>
  <si>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</si>
  <si>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</si>
  <si>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</si>
  <si>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</si>
  <si>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</si>
  <si>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</si>
  <si>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</si>
  <si>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</si>
  <si>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</si>
  <si>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</si>
  <si>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</si>
  <si>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</si>
  <si>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</si>
  <si>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</si>
  <si>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</si>
  <si>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</si>
  <si>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</si>
  <si>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</si>
  <si>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</si>
  <si>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</si>
  <si>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</si>
  <si>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</si>
  <si>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</si>
  <si>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</si>
  <si>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</si>
  <si>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</si>
  <si>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</si>
  <si>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</si>
  <si>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</si>
  <si>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</si>
  <si>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</si>
  <si>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</si>
  <si>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</si>
  <si>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</si>
  <si>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</si>
  <si>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</si>
  <si>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</si>
  <si>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</si>
  <si>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</si>
  <si>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</si>
  <si>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</si>
  <si>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</si>
  <si>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</si>
  <si>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</si>
  <si>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</si>
  <si>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</si>
  <si>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</si>
  <si>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</si>
  <si>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</si>
  <si>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</si>
  <si>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</si>
  <si>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</si>
  <si>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</si>
  <si>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</si>
  <si>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</si>
  <si>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</si>
  <si>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</si>
  <si>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</si>
  <si>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</si>
  <si>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</si>
  <si>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</si>
  <si>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</si>
  <si>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</si>
  <si>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</si>
  <si>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</si>
  <si>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</si>
  <si>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</si>
  <si>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</si>
  <si>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</si>
  <si>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</si>
  <si>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</si>
  <si>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</si>
  <si>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</si>
  <si>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</si>
  <si>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</si>
  <si>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</si>
  <si>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</si>
  <si>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</si>
  <si>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</si>
  <si>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</si>
  <si>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</si>
  <si>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</si>
  <si>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</si>
  <si>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</si>
  <si>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</si>
  <si>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</si>
  <si>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</si>
  <si>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</si>
  <si>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</si>
  <si>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</si>
  <si>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</si>
  <si>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</si>
  <si>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</si>
  <si>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</si>
  <si>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</si>
  <si>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</si>
  <si>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</si>
  <si>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</si>
  <si>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</si>
  <si>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</si>
  <si>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</si>
  <si>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</si>
  <si>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</si>
  <si>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</si>
  <si>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</si>
  <si>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</si>
  <si>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</si>
  <si>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</si>
  <si>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</si>
  <si>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</si>
  <si>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</si>
  <si>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</si>
  <si>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</si>
  <si>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</si>
  <si>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</si>
  <si>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</si>
  <si>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</si>
  <si>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</si>
  <si>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</si>
  <si>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</si>
  <si>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</si>
  <si>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</si>
  <si>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</si>
  <si>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</si>
  <si>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</si>
  <si>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</si>
  <si>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</si>
  <si>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</si>
  <si>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</si>
  <si>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</si>
  <si>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</si>
  <si>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</si>
  <si>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</si>
  <si>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</si>
  <si>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</si>
  <si>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</si>
  <si>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</si>
  <si>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</si>
  <si>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</si>
  <si>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</si>
  <si>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</si>
  <si>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</si>
  <si>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</si>
  <si>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</si>
  <si>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</si>
  <si>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</si>
  <si>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</si>
  <si>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</si>
  <si>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</si>
  <si>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</si>
  <si>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</si>
  <si>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</si>
  <si>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</si>
  <si>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</si>
  <si>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</si>
  <si>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</si>
  <si>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</si>
  <si>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</si>
  <si>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</si>
  <si>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</si>
  <si>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</si>
  <si>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</si>
  <si>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</si>
  <si>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</si>
  <si>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</si>
  <si>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</si>
  <si>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</si>
  <si>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</si>
  <si>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</si>
  <si>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</si>
  <si>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</si>
  <si>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</si>
  <si>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</si>
  <si>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</si>
  <si>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</si>
  <si>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</si>
  <si>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</si>
  <si>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</si>
  <si>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</si>
  <si>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</si>
  <si>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</si>
  <si>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</si>
  <si>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</si>
  <si>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</si>
  <si>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</si>
  <si>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</si>
  <si>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</si>
  <si>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</si>
  <si>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</si>
  <si>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</si>
  <si>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</si>
  <si>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</si>
  <si>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</si>
  <si>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</si>
  <si>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</si>
  <si>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</si>
  <si>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</si>
  <si>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</si>
  <si>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</si>
  <si>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</si>
  <si>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</si>
  <si>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</si>
  <si>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</si>
  <si>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</si>
  <si>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</si>
  <si>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</si>
  <si>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</si>
  <si>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</si>
  <si>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</si>
  <si>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</si>
  <si>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</si>
  <si>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</si>
  <si>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</si>
  <si>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</si>
  <si>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</si>
  <si>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</si>
  <si>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</si>
  <si>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</si>
  <si>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</si>
  <si>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</si>
  <si>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</si>
  <si>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</si>
  <si>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</si>
  <si>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</si>
  <si>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</si>
  <si>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</si>
  <si>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</si>
  <si>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</si>
  <si>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</si>
  <si>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</si>
  <si>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</si>
  <si>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</si>
  <si>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</si>
  <si>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</si>
  <si>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</si>
  <si>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</si>
  <si>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</si>
  <si>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</si>
  <si>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</si>
  <si>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</si>
  <si>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</si>
  <si>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</si>
  <si>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</si>
  <si>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</si>
  <si>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</si>
  <si>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</si>
  <si>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</si>
  <si>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</si>
  <si>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</si>
  <si>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</si>
  <si>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</si>
  <si>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</si>
  <si>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</si>
  <si>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</si>
  <si>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</si>
  <si>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</si>
  <si>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</si>
  <si>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</si>
  <si>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</si>
  <si>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</si>
  <si>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</si>
  <si>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</si>
  <si>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</si>
  <si>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</si>
  <si>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</si>
  <si>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</si>
  <si>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</si>
  <si>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</si>
  <si>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</si>
  <si>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</si>
  <si>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</si>
  <si>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</si>
  <si>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</si>
  <si>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</si>
  <si>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</si>
  <si>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</si>
  <si>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</si>
  <si>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</si>
  <si>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</si>
  <si>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</si>
  <si>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</si>
  <si>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</si>
  <si>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</si>
  <si>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</si>
  <si>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</si>
  <si>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</si>
  <si>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</si>
  <si>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</si>
  <si>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</si>
  <si>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</si>
  <si>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</si>
  <si>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</si>
  <si>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</si>
  <si>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</si>
  <si>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</si>
  <si>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</si>
  <si>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</si>
  <si>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</si>
  <si>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</si>
  <si>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</si>
  <si>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</si>
  <si>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</si>
  <si>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</si>
  <si>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</si>
  <si>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</si>
  <si>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</si>
  <si>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</si>
  <si>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</si>
  <si>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</si>
  <si>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</si>
  <si>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</si>
  <si>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</si>
  <si>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</si>
  <si>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</si>
  <si>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</si>
  <si>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</si>
  <si>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</si>
  <si>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</si>
  <si>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</si>
  <si>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</si>
  <si>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</si>
  <si>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</si>
  <si>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</si>
  <si>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</si>
  <si>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</si>
  <si>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</si>
  <si>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</si>
  <si>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</si>
  <si>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</si>
  <si>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</si>
  <si>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</si>
  <si>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</si>
  <si>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</si>
  <si>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</si>
  <si>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</si>
  <si>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</si>
  <si>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</si>
  <si>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</si>
  <si>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</si>
  <si>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</si>
  <si>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</si>
  <si>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</si>
  <si>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</si>
  <si>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</si>
  <si>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</si>
  <si>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</si>
  <si>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</si>
  <si>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</si>
  <si>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</si>
  <si>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</si>
  <si>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</si>
  <si>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</si>
  <si>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</si>
  <si>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</si>
  <si>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</si>
  <si>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</si>
  <si>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</si>
  <si>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</si>
  <si>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</si>
  <si>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</si>
  <si>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</si>
  <si>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</si>
  <si>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</si>
  <si>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</si>
  <si>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</si>
  <si>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</si>
  <si>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</si>
  <si>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</si>
  <si>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</si>
  <si>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</si>
  <si>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</si>
  <si>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</si>
  <si>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</si>
  <si>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</si>
  <si>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</si>
  <si>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</si>
  <si>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</si>
  <si>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</si>
  <si>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</si>
  <si>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</si>
  <si>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</si>
  <si>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</si>
  <si>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</si>
  <si>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</si>
  <si>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</si>
  <si>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</si>
  <si>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</si>
  <si>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</si>
  <si>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</si>
  <si>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</si>
  <si>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</si>
  <si>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</si>
  <si>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</si>
  <si>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</si>
  <si>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</si>
  <si>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</si>
  <si>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</si>
  <si>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</si>
  <si>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</si>
  <si>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</si>
  <si>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</si>
  <si>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</si>
  <si>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</si>
  <si>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</si>
  <si>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</si>
  <si>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</si>
  <si>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</si>
  <si>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</si>
  <si>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</si>
  <si>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</si>
  <si>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</si>
  <si>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</si>
  <si>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</si>
  <si>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</si>
  <si>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</si>
  <si>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</si>
  <si>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</si>
  <si>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</si>
  <si>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</si>
  <si>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</si>
  <si>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</si>
  <si>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</si>
  <si>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</si>
  <si>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</si>
  <si>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</si>
  <si>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</si>
  <si>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</si>
  <si>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</si>
  <si>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</si>
  <si>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</si>
  <si>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</si>
  <si>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</si>
  <si>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</si>
  <si>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</si>
  <si>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</si>
  <si>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</si>
  <si>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</si>
  <si>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</si>
  <si>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</si>
  <si>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</si>
  <si>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</si>
  <si>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</si>
  <si>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</si>
  <si>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</si>
  <si>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</si>
  <si>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</si>
  <si>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</si>
  <si>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</si>
  <si>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</si>
  <si>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</si>
  <si>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</si>
  <si>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</si>
  <si>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</si>
  <si>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</si>
  <si>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Pleora technologies</t>
  </si>
  <si>
    <t>65232</t>
  </si>
  <si>
    <t>Ismail Mounir</t>
  </si>
  <si>
    <t>ismail.mounir@pleora.com</t>
  </si>
  <si>
    <t>613-288-8921</t>
  </si>
  <si>
    <t>A.L.M.T Corp.</t>
  </si>
  <si>
    <t>CFSI</t>
  </si>
  <si>
    <t>0</t>
  </si>
  <si>
    <t>Al Ghaith Gold</t>
  </si>
  <si>
    <t>Alexy Metals</t>
  </si>
  <si>
    <t>CID003500</t>
  </si>
  <si>
    <t>7315 Industrial Park Blvd, Mentor, OH</t>
  </si>
  <si>
    <t>Grayson Alexy</t>
  </si>
  <si>
    <t>info@alexymetals.com</t>
  </si>
  <si>
    <t>Due diligence results pending</t>
  </si>
  <si>
    <t>An Thai Minerals Co., Ltd.</t>
  </si>
  <si>
    <t>CID002825</t>
  </si>
  <si>
    <t>ANHUI HERRMAN IMPEX CO.</t>
  </si>
  <si>
    <t>This smelter only relates to TE's Hirschmann Car Communication's (HCC) operation and was disclosed by a supplier in HCC's supply chain.  HCC was acquired by TE Connectivity in 2017 and manufactures antenna solutions primarily for the automotive industry.</t>
  </si>
  <si>
    <t>Arco Alloys</t>
  </si>
  <si>
    <t>Artek LLC</t>
  </si>
  <si>
    <t>CID003553</t>
  </si>
  <si>
    <t>Ryabinovaya Street, 26, Moscow, Moskva, 121471, Russian Federation</t>
  </si>
  <si>
    <t>Dmitry Yakimov</t>
  </si>
  <si>
    <t>yakimov@artek.com.ru</t>
  </si>
  <si>
    <t>ARY Aurum Plus</t>
  </si>
  <si>
    <t>Asia Tungsten Products Vietnam Ltd</t>
  </si>
  <si>
    <t>3382-3 Saganoseki</t>
  </si>
  <si>
    <t>Bauer Walser AG</t>
  </si>
  <si>
    <t>China Molybdenum Tungsten Co., Ltd.</t>
  </si>
  <si>
    <t>Chofu Works</t>
  </si>
  <si>
    <t>CID000278</t>
  </si>
  <si>
    <t>Cooperativa Metalurgica de Rondonia Ltda.</t>
  </si>
  <si>
    <t>CID000295</t>
  </si>
  <si>
    <t>CRM Fundicao De Metais E Comercio De Equipamentos Eletronicos Do Brasil Ltda</t>
  </si>
  <si>
    <t>CID003486</t>
  </si>
  <si>
    <t>Rua Senador Carlos Gomes de Oliveira,80 São José/SC Brazil Zip Code 88104-785</t>
  </si>
  <si>
    <t>Henrique Samy Pereira</t>
  </si>
  <si>
    <t>hsamy@crmdobrasil.com</t>
  </si>
  <si>
    <t>CRM Synergies</t>
  </si>
  <si>
    <t>CID003524</t>
  </si>
  <si>
    <t>C/Jose Antonio Nave 2-10, Toledo, Espana</t>
  </si>
  <si>
    <t>Esther Canete</t>
  </si>
  <si>
    <t>ECANETE@CRMSYNERGIES.COM</t>
  </si>
  <si>
    <t>Rua Augusto Valiatti, 77, Corveta – Araquari – Santa Catarina, ZIP Code: 89245-000</t>
  </si>
  <si>
    <t>Leandro Campos</t>
  </si>
  <si>
    <t>leandro.campos@cronimet.com.br</t>
  </si>
  <si>
    <t>CV Ayi Jaya</t>
  </si>
  <si>
    <t>CID002570</t>
  </si>
  <si>
    <t>CV Dua Sekawan</t>
  </si>
  <si>
    <t>CID002592</t>
  </si>
  <si>
    <t>CV Gita Pesona</t>
  </si>
  <si>
    <t>CID000306</t>
  </si>
  <si>
    <t>CV United Smelting</t>
  </si>
  <si>
    <t>CID000315</t>
  </si>
  <si>
    <t>CV Venus Inti Perkasa</t>
  </si>
  <si>
    <t>CID002455</t>
  </si>
  <si>
    <t>Daejin Indus Co., Ltd.</t>
  </si>
  <si>
    <t>CID000328</t>
  </si>
  <si>
    <t>DAIDO STEEL</t>
  </si>
  <si>
    <t>Dongguan City Xida Soldering Tin Products Co.</t>
  </si>
  <si>
    <t>Duoluoshan</t>
  </si>
  <si>
    <t>CID000410</t>
  </si>
  <si>
    <t>Eco-System Recycling Co., Ltd.</t>
  </si>
  <si>
    <t>Elemetal Refining, LLC</t>
  </si>
  <si>
    <t>CID001322</t>
  </si>
  <si>
    <t>Emerald Jewel Industry India Limited (Unit 1)</t>
  </si>
  <si>
    <t>300, 301/1A, Rackipalayam Pirivu, Narasimhanaickenpalayam, Mettupalayam Road, Coimbatore - 641 031</t>
  </si>
  <si>
    <t>Manikandan.R</t>
  </si>
  <si>
    <t>manikandan.r@ejindia.com</t>
  </si>
  <si>
    <t>Emerald Jewel Industry India Limited (Unit 2)</t>
  </si>
  <si>
    <t>Emerald Jewel Industry India Limited (Unit 3)</t>
  </si>
  <si>
    <t>Emerald Jewel Industry India Limited (Unit 4)</t>
  </si>
  <si>
    <t>Fuji Metal Mining Corp.</t>
  </si>
  <si>
    <t>Ganzhou Beseem Ferrotungsten Co., Ltd.</t>
  </si>
  <si>
    <t>Ganzhou Yatai Tungsten Co., Ltd.</t>
  </si>
  <si>
    <t>CID002536</t>
  </si>
  <si>
    <t>Gejiu City Fuxiang Industry and Trade Co., Ltd.”</t>
  </si>
  <si>
    <t>Gejiu Fengming Metallurgy Chemical Plant</t>
  </si>
  <si>
    <t>CID002848</t>
  </si>
  <si>
    <t>Gejiu Jinye Mineral Company</t>
  </si>
  <si>
    <t>CID002859</t>
  </si>
  <si>
    <t>Gejiu Yunxi Group Corp.</t>
  </si>
  <si>
    <t>20F Block A, Marina Bay Center, South of Xinghua Rd. Bao’an Center Area, Shenzhen, Guangdong Sheng</t>
  </si>
  <si>
    <t>Zhaoxia Zeng (曾朝霞)</t>
  </si>
  <si>
    <t>zengzhaoxia@gem.com.cn</t>
  </si>
  <si>
    <t>Guangdong Hua Jian Trade Co., Ltd.</t>
  </si>
  <si>
    <t>GUANGDONG JINXIAN GAOXIN CAI LIAO GONG SI</t>
  </si>
  <si>
    <t>Guangdong Rising Rare Metals-EO Materials Ltd.</t>
  </si>
  <si>
    <t>CID000291</t>
  </si>
  <si>
    <t>GUANGXI HUA TIN GOLD MINUTE FEE, LTD.</t>
  </si>
  <si>
    <t>Guangxi Nonferrous Metals Group</t>
  </si>
  <si>
    <t>Guangxi Zhongshan Jin Yi Smelting Co., Ltd.</t>
  </si>
  <si>
    <t>Hang Seng Technology</t>
  </si>
  <si>
    <t>Henan Yuguang Gold &amp; Lead Co., Ltd.</t>
  </si>
  <si>
    <t>Heraeus Metals Hong Kong Ltd</t>
  </si>
  <si>
    <t>No. 30 Safety Street, Anle Industrial Village</t>
  </si>
  <si>
    <t>Hong Kong</t>
  </si>
  <si>
    <t>Lung Chak Yeung</t>
  </si>
  <si>
    <t>LingLong Gold</t>
  </si>
  <si>
    <t>China</t>
  </si>
  <si>
    <t>Hetai Gold Mineral Guangdong Co., Ltd.</t>
  </si>
  <si>
    <t>Hezhou Jinwei Tin Co., Ltd.</t>
  </si>
  <si>
    <t>Hi-Temp Specialty Metals, Inc.</t>
  </si>
  <si>
    <t>CID000731</t>
  </si>
  <si>
    <t>Hongqiao Metals (Kunshan) Co., Ltd.</t>
  </si>
  <si>
    <t>Hop Hing electroplating factory Zhejiang</t>
  </si>
  <si>
    <t>Hulterworth Smelter</t>
  </si>
  <si>
    <t>Hung Cheong Metal Manufacturing Limited</t>
  </si>
  <si>
    <t>Jiang Jia Wang Technology Co.</t>
  </si>
  <si>
    <t>Jiangxi Ketai Advanced Material Co., Ltd.</t>
  </si>
  <si>
    <t>CID000244</t>
  </si>
  <si>
    <t>Jiangxi Xiushui Xianggan Nonferrous Metals Co., Ltd.</t>
  </si>
  <si>
    <t>CID002535</t>
  </si>
  <si>
    <t>Jin Jinyin Refining Co., Ltd.</t>
  </si>
  <si>
    <t>Jinlong Copper Co., Ltd.</t>
  </si>
  <si>
    <t>Jiujiang Janny New Material Co., Ltd.</t>
  </si>
  <si>
    <t>CID003191</t>
  </si>
  <si>
    <t>Johnson Matthey Inc</t>
  </si>
  <si>
    <t>Ju Tai Industrial Co., Ltd.</t>
  </si>
  <si>
    <t>K.A. Rasmussen</t>
  </si>
  <si>
    <t>Birkebeinervegen 24, 2316 Hamar, Norwegen</t>
  </si>
  <si>
    <t>Elin Ostli</t>
  </si>
  <si>
    <t>eo@karasmussen.com</t>
  </si>
  <si>
    <t>KEMET Blue Powder</t>
  </si>
  <si>
    <t>CID002568</t>
  </si>
  <si>
    <t>KGETS CO., LTD.</t>
  </si>
  <si>
    <t>King-Tan Tantalum Industry Ltd.</t>
  </si>
  <si>
    <t>CID000973</t>
  </si>
  <si>
    <t>Kosak Seiren</t>
  </si>
  <si>
    <t>LIAN JING</t>
  </si>
  <si>
    <t>Liuzhou China Tin</t>
  </si>
  <si>
    <t>Guangxi</t>
  </si>
  <si>
    <t>M/s ECO Tropical Resources</t>
  </si>
  <si>
    <t>Ma An Shan Shu Guang Smelter Corp.</t>
  </si>
  <si>
    <t>malaysia smelting corporation(MSC)</t>
  </si>
  <si>
    <t>Materials Eco-Refining Co., Ltd.</t>
  </si>
  <si>
    <t>MD Overseas</t>
  </si>
  <si>
    <t>Khasra No-7/2, Rampura Dehat, Shyampuria Milling Industries, Kashipur Road, District U.S. Nagar, Rudrapur-263153, Uttarakhand</t>
  </si>
  <si>
    <t>Tripti Bansal</t>
  </si>
  <si>
    <t>tbansal@youngbuilders.in</t>
  </si>
  <si>
    <t>Mehra Ferro-Alloys Pvt. Ltd.</t>
  </si>
  <si>
    <t>Menara Cipta Mulia</t>
  </si>
  <si>
    <t>Mentawak</t>
  </si>
  <si>
    <t>Metahub Industries Sdn. Bhd.</t>
  </si>
  <si>
    <t>Metal Concentrators SA (Pty) Ltd.</t>
  </si>
  <si>
    <t>CID003575</t>
  </si>
  <si>
    <t>7 Ellman Street, Sunderland Ridge, Centurion, South Africa</t>
  </si>
  <si>
    <t>Tania Pelser</t>
  </si>
  <si>
    <t>tania.pelser@metcon.co.za</t>
  </si>
  <si>
    <t>Metallix Refining Inc.</t>
  </si>
  <si>
    <t>251 Industrial Blvd, Greenville, NC 27834</t>
  </si>
  <si>
    <t>Lori Benn</t>
  </si>
  <si>
    <t>Lorib@metallix.com</t>
  </si>
  <si>
    <t>Metalor Technologies (Hong Kong) Ltd</t>
  </si>
  <si>
    <t>Minchali Metal Industry Co., Ltd.</t>
  </si>
  <si>
    <t>Ming Li Jia smelt Metal Factory</t>
  </si>
  <si>
    <t>Morris and Watson Gold Coast</t>
  </si>
  <si>
    <t>CID002866</t>
  </si>
  <si>
    <t>Nantong Tongjie Electrical Co., Ltd.</t>
  </si>
  <si>
    <t>Ney Metals and Alloys</t>
  </si>
  <si>
    <t>Nihon Material Corporation</t>
  </si>
  <si>
    <t>Nihon Superior Co., Ltd.</t>
  </si>
  <si>
    <t>Novosibirsk Processing Plant Ltd.</t>
  </si>
  <si>
    <t>CID001305</t>
  </si>
  <si>
    <t>62 Mira Street , Novosibirsk, Novosibirsk Oblast, Russia, 630033  Novosibirsk, Novosibirsk Oblast, Russia   Postcode 630033  Ilyinka st. 9, Moscow, 109097</t>
  </si>
  <si>
    <t>Vladimir Gorodetsky</t>
  </si>
  <si>
    <t>svo2@nok.ru</t>
  </si>
  <si>
    <t>Indonesia, Russia, Recycled/Scrap</t>
  </si>
  <si>
    <t>Now known as Meta Materials</t>
  </si>
  <si>
    <t>RCOI confirmed as per RMAP</t>
  </si>
  <si>
    <t>Igor Kaev</t>
  </si>
  <si>
    <t>ik@fenimor.com.sg</t>
  </si>
  <si>
    <t>Nyrstar Metals</t>
  </si>
  <si>
    <t>Old City Metals Processing Co., Ltd.</t>
  </si>
  <si>
    <t>OMODEO A. E S. METALLEGHE SRL</t>
  </si>
  <si>
    <t>Pan Light Corporation</t>
  </si>
  <si>
    <t>PM Kalco Inc</t>
  </si>
  <si>
    <t>Precious Metals Sales Corp.</t>
  </si>
  <si>
    <t>PT Aries Kencana Sejahtera</t>
  </si>
  <si>
    <t>CID000309</t>
  </si>
  <si>
    <t>PT Babel Inti Perkasa</t>
  </si>
  <si>
    <t>CID001402</t>
  </si>
  <si>
    <t>PT Babel Surya Alam Lestari</t>
  </si>
  <si>
    <t>CID001406</t>
  </si>
  <si>
    <t>PT Bangka Prima Tin</t>
  </si>
  <si>
    <t>CID002776</t>
  </si>
  <si>
    <t>PT Bangka Tin Industry</t>
  </si>
  <si>
    <t>CID001419</t>
  </si>
  <si>
    <t>PT Belitung Industri Sejahtera</t>
  </si>
  <si>
    <t>CID001421</t>
  </si>
  <si>
    <t>PT Bukit Timah</t>
  </si>
  <si>
    <t>CID001428</t>
  </si>
  <si>
    <t>PT Cipta Persada Mulia</t>
  </si>
  <si>
    <t>CID002696</t>
  </si>
  <si>
    <t>PT DS Jaya Abadi</t>
  </si>
  <si>
    <t>CID001434</t>
  </si>
  <si>
    <t>PT Eunindo Usaha Mandiri</t>
  </si>
  <si>
    <t>CID001438</t>
  </si>
  <si>
    <t>PT Inti Stania Prima</t>
  </si>
  <si>
    <t>CID002530</t>
  </si>
  <si>
    <t>PT Justindo</t>
  </si>
  <si>
    <t>CID000307</t>
  </si>
  <si>
    <t>PT Karimun Mining</t>
  </si>
  <si>
    <t>CID001448</t>
  </si>
  <si>
    <t>PT Kijang Jaya Mandiri</t>
  </si>
  <si>
    <t>CID002829</t>
  </si>
  <si>
    <t>PT Lautan Harmonis Sejahtera</t>
  </si>
  <si>
    <t>CID002870</t>
  </si>
  <si>
    <t>PT Menara Cipta Mulia</t>
  </si>
  <si>
    <t>CID002835</t>
  </si>
  <si>
    <t>PT NATARI</t>
  </si>
  <si>
    <t>PT O.M. Indonesia</t>
  </si>
  <si>
    <t>CID002757</t>
  </si>
  <si>
    <t>PT Panca Mega Persada</t>
  </si>
  <si>
    <t>CID001457</t>
  </si>
  <si>
    <t>PT Premium Tin Indonesia</t>
  </si>
  <si>
    <t>CID000313</t>
  </si>
  <si>
    <t>PT Prima Timah Utama</t>
  </si>
  <si>
    <t>CID001458</t>
  </si>
  <si>
    <t>PT Rajawali Rimba Perkasa</t>
  </si>
  <si>
    <t>CID003381</t>
  </si>
  <si>
    <t>PT Rajehan Ariq</t>
  </si>
  <si>
    <t>CID002593</t>
  </si>
  <si>
    <t>PT Sariwiguna Binasentosa</t>
  </si>
  <si>
    <t>CID001463</t>
  </si>
  <si>
    <t>PT Stanindo Inti Perkasa</t>
  </si>
  <si>
    <t>CID001468</t>
  </si>
  <si>
    <t>PT Sukses Inti Makmur</t>
  </si>
  <si>
    <t>CID002816</t>
  </si>
  <si>
    <t>PT Sumber Jaya Indah</t>
  </si>
  <si>
    <t>CID001471</t>
  </si>
  <si>
    <t>PT Timah Nusantara</t>
  </si>
  <si>
    <t>CID001486</t>
  </si>
  <si>
    <t>Jalan Raya Tempilang Kecamatan Kelapa, Kabupaten bangka barat, Provinsi Kepulauan Bangka Belitung, Indonesia</t>
  </si>
  <si>
    <t>Defri Maulana</t>
  </si>
  <si>
    <t>timahnusantara@yahoo.com</t>
  </si>
  <si>
    <t>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t>
  </si>
  <si>
    <t>PT Tinindo Inter Nusa</t>
  </si>
  <si>
    <t>CID001490</t>
  </si>
  <si>
    <t>PT Tirus Putra Mandiri</t>
  </si>
  <si>
    <t>CID002478</t>
  </si>
  <si>
    <t>PT Tommy Utama</t>
  </si>
  <si>
    <t>CID001493</t>
  </si>
  <si>
    <t>PT Wahana Perkit Jaya</t>
  </si>
  <si>
    <t>CID002479</t>
  </si>
  <si>
    <t>Realized the Enterprise Co., Ltd.</t>
  </si>
  <si>
    <t>Republic Metals Corporation</t>
  </si>
  <si>
    <t>CID002510</t>
  </si>
  <si>
    <t>RFH Tantalum Smeltery Co., Ltd./Yanling Jincheng Tantalum &amp; Niobium Co., Ltd.</t>
  </si>
  <si>
    <t>Rio Tinto Group</t>
  </si>
  <si>
    <t>Sancus ZFS (L’Orfebre, SA)</t>
  </si>
  <si>
    <t>Zona Franca Palermo, Km3 Sitionuevo, Barranquilla COLOMBIA</t>
  </si>
  <si>
    <t>Ramiro Rodriguez Paz</t>
  </si>
  <si>
    <t>ramiro@sancus.es</t>
  </si>
  <si>
    <t>Schone Edelmetaal B.V.</t>
  </si>
  <si>
    <t>CID001573</t>
  </si>
  <si>
    <t>Sellem Industries Ltd.</t>
  </si>
  <si>
    <t>Avenue de l'independence, BP 623, Nouakchott, Nouakchott Ouest</t>
  </si>
  <si>
    <t>Alec Sellem</t>
  </si>
  <si>
    <t>alec@sellemindustries.com</t>
  </si>
  <si>
    <t>SEMPSA Joyería Platería SA</t>
  </si>
  <si>
    <t>Community of Madrid</t>
  </si>
  <si>
    <t>Shan Dong Huangjin</t>
  </si>
  <si>
    <t>Shan Tou Shi Yong Yuan Jin Shu Zai Sheng Co., Ltd.</t>
  </si>
  <si>
    <t>Shandon Jin Jinyin Refining Limited</t>
  </si>
  <si>
    <t>Shandong Hengbang Smelter Co., Ltd.</t>
  </si>
  <si>
    <t>Shandong penglai gold smelter</t>
  </si>
  <si>
    <t>Shandong Yanggu Xiangguang Co., Ltd.</t>
  </si>
  <si>
    <t>Shandong Zhaojin Gold &amp; Silver Refinery Co. Ltd</t>
  </si>
  <si>
    <t>Shandong</t>
  </si>
  <si>
    <t>Shandong Zhaojin Gold &amp; Silver Refinery Co., Ltd</t>
  </si>
  <si>
    <t>Documentation review</t>
  </si>
  <si>
    <t>Reviewed the composition of the raw materials</t>
  </si>
  <si>
    <t>Shanghai Jiangxi Metals Co., Ltd.</t>
  </si>
  <si>
    <t>Shenzhen Heng Zhong Industry Co., Ltd.</t>
  </si>
  <si>
    <t>Shenzhen Hong Chang Metal Manufacturing Factory</t>
  </si>
  <si>
    <t>Shenzhen Zhonghenglong Real Industry Co., Ltd.</t>
  </si>
  <si>
    <t>Sichuan Guanghan Jiangnan casting smelters</t>
  </si>
  <si>
    <t>Sigma Tin Alloy Co., Ltd.</t>
  </si>
  <si>
    <t>Sino-Platinum Metals Co., Ltd.</t>
  </si>
  <si>
    <t>So Accurate Group, Inc.</t>
  </si>
  <si>
    <t>CID001754</t>
  </si>
  <si>
    <t>Solder Court Ltd.</t>
  </si>
  <si>
    <t>Spectro Alloys Corp.</t>
  </si>
  <si>
    <t>Suntain Co., Ltd.</t>
  </si>
  <si>
    <t>Super Dragon Technology Co., Ltd.</t>
  </si>
  <si>
    <t>Suzhou Nuonengda Chemical Co., Ltd.</t>
  </si>
  <si>
    <t>SuZhou ShenChuang recycling Ltd.</t>
  </si>
  <si>
    <t>Tai Perng</t>
  </si>
  <si>
    <t>Taicang City Nancang Metal Material Co., Ltd.</t>
  </si>
  <si>
    <t>Taiwan high-tech Co., Ltd.</t>
  </si>
  <si>
    <t>Taiwan Huanliang</t>
  </si>
  <si>
    <t>TAIWAN TOTAI CO., LTD.</t>
  </si>
  <si>
    <t>Taiwan's lofty Enterprises Ltd.</t>
  </si>
  <si>
    <t>TAP</t>
  </si>
  <si>
    <t>Thailand Mine Factory</t>
  </si>
  <si>
    <t>Three green surface technology limited company</t>
  </si>
  <si>
    <t>Tianshui Ling Bo Technology Co., Ltd.</t>
  </si>
  <si>
    <t>TIN PLATING GEJIU</t>
  </si>
  <si>
    <t>TONG LONG</t>
  </si>
  <si>
    <t>Top-Team Technology (Shenzhen) Ltd.</t>
  </si>
  <si>
    <t>Toshiba Material Co., Ltd.</t>
  </si>
  <si>
    <t>Tranzact, Inc.</t>
  </si>
  <si>
    <t>CID002571</t>
  </si>
  <si>
    <t>Tsai Brother industries</t>
  </si>
  <si>
    <t>TSK Pretech</t>
  </si>
  <si>
    <t>Tungsten Diversified Industries LLC</t>
  </si>
  <si>
    <t>Universal Precious Metals Refining Zambia</t>
  </si>
  <si>
    <t>CID002854</t>
  </si>
  <si>
    <t>Untracore Co., Ltd.</t>
  </si>
  <si>
    <t>Viagra Di precious metals (Zhaoyuan) Co., Ltd.</t>
  </si>
  <si>
    <t>Vietnam Youngsun Tungsten Industry Co., Ltd.</t>
  </si>
  <si>
    <t>CID002011</t>
  </si>
  <si>
    <t>VQB Mineral and Trading Group JSC</t>
  </si>
  <si>
    <t>CID002015</t>
  </si>
  <si>
    <t>WANG TING</t>
  </si>
  <si>
    <t>WELLEY</t>
  </si>
  <si>
    <t>WUJIANG CITY LUXE TIN FACTORY</t>
  </si>
  <si>
    <t>Wuzhong Group</t>
  </si>
  <si>
    <t>Xiamen Honglu Tungsten Molybdenum Co., Ltd.</t>
  </si>
  <si>
    <t>Xiamen JInbo Metal Co., Ltd.</t>
  </si>
  <si>
    <t>Xianghualing Tin Industry Co., Ltd.</t>
  </si>
  <si>
    <t>Xin Furukawa Metal ( Wuxi ) Co., Ltd.</t>
  </si>
  <si>
    <t>XURI</t>
  </si>
  <si>
    <t>YAMAKIN CO., LTD.</t>
  </si>
  <si>
    <t>Yamato Denki Ind. Co., Ltd.</t>
  </si>
  <si>
    <t>Yichun Jin Yang Rare Metal Co., Ltd.</t>
  </si>
  <si>
    <t>CID002307</t>
  </si>
  <si>
    <t>Yifeng Tin</t>
  </si>
  <si>
    <t>Yiquan Manufacturing</t>
  </si>
  <si>
    <t>Yuecheng Tin Co., Ltd.</t>
  </si>
  <si>
    <t>Yunnan Chengfeng Non-ferrous Metals Co. Ltd</t>
  </si>
  <si>
    <t>East No. 21 JinHu Road</t>
  </si>
  <si>
    <t>Yunnan</t>
  </si>
  <si>
    <t>Mr Tang</t>
  </si>
  <si>
    <t>ystim@vip.163.com</t>
  </si>
  <si>
    <t>GeJiu Tin</t>
  </si>
  <si>
    <t>Yunnan Chengfeng Non-ferrous Metals Co.,Ltd.</t>
  </si>
  <si>
    <t>Geiju</t>
  </si>
  <si>
    <t>Yunnan Chengo Electric Smelting Plant</t>
  </si>
  <si>
    <t>Yunnan Copper Zinc Industry Co., Ltd.</t>
  </si>
  <si>
    <t>Yunnan Geiju Smelting Corp.</t>
  </si>
  <si>
    <t>Yunnan Gold Mining Group Co., Ltd. (YGMG)</t>
  </si>
  <si>
    <t>Yunnan Industrial Co., Ltd.</t>
  </si>
  <si>
    <t>Yunnan Malipo Baiyi Kuangye Co.</t>
  </si>
  <si>
    <t>Zhangzhou Chuen Bao Apt Smeltery Co., Ltd.</t>
  </si>
  <si>
    <t>Zhaojun Maifu</t>
  </si>
  <si>
    <t>Zhe Jiang Guang Yuan Noble Metal Smelting Factory</t>
  </si>
  <si>
    <t>Zhongkuang Gold Industry Co., Ltd.</t>
  </si>
  <si>
    <t>Zhongshan Hyper-Toxic Substance Monopolized Co., Ltd.</t>
  </si>
  <si>
    <t>Zhongshan Jinye Smelting Co.,Ltd</t>
  </si>
  <si>
    <t>Zhongshan Poison Material Proprietary Co., Ltd.</t>
  </si>
  <si>
    <t>Zhuhai toxic materials Monopoly Ltd.</t>
  </si>
  <si>
    <t>Zhuzhou Cemented Carbide Group Co., Ltd.</t>
  </si>
  <si>
    <t>CID002232</t>
  </si>
  <si>
    <t>Zhuzhou Smelting Group Co., Ltd</t>
  </si>
  <si>
    <t>Zijin Mining Group Co. Ltd</t>
  </si>
  <si>
    <t>Fujian</t>
  </si>
  <si>
    <t>中国河南中原金冶炼厂</t>
  </si>
  <si>
    <t>Jinchanglu, Sanmenxia City, Henan Province</t>
  </si>
  <si>
    <t>Henan</t>
  </si>
  <si>
    <t>/</t>
  </si>
  <si>
    <t>http://shop254760.yellwurl.cn/</t>
  </si>
  <si>
    <t>云南乘风有色金属股份有限公司</t>
  </si>
  <si>
    <t>云南锡业股份有限公司</t>
  </si>
  <si>
    <t>Kunming High-tech Industrial Development Zone, Yunnan Province</t>
  </si>
  <si>
    <t>http://www.ytl.com.cn/</t>
  </si>
  <si>
    <t>山东黄金矿业股份有限公司</t>
  </si>
  <si>
    <t>Shantai Plaza, No. 2000 Haohua Road, Jinan City</t>
  </si>
  <si>
    <t>shandong</t>
  </si>
  <si>
    <t>www.sdhjgf.com.cn</t>
  </si>
  <si>
    <t>NPI Technical Leader</t>
  </si>
  <si>
    <t>5% of our suppliers haven't yet provided CMRT report</t>
  </si>
  <si>
    <t>95% suppliers responded</t>
  </si>
  <si>
    <t>https://www.pleora.com/wp-content/uploads/2018/04/Environmental-Sustainability-and-Social-Responsibility-Policy.pdf</t>
  </si>
  <si>
    <t>340 Terry Fox Drive, Suite 300, Kanata Ontario, K2K 1Y9</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</si>
</sst>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1" sqref="B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7"/>
      <c r="E1" s="10"/>
      <c r="F1" s="10"/>
      <c r="G1" s="11"/>
    </row>
    <row r="2" spans="1:7">
      <c r="A2" s="363"/>
      <c r="B2" s="38" t="s">
        <v>870</v>
      </c>
      <c r="C2" s="36"/>
      <c r="D2" s="208"/>
      <c r="E2" s="3"/>
      <c r="F2" s="36"/>
      <c r="G2" s="34"/>
    </row>
    <row r="3" spans="1:7">
      <c r="A3" s="363"/>
      <c r="B3" s="5" t="s">
        <v>862</v>
      </c>
      <c r="C3" s="6"/>
      <c r="D3" s="209"/>
      <c r="E3" s="3"/>
      <c r="F3" s="6"/>
      <c r="G3" s="34"/>
    </row>
    <row r="4" spans="1:7" ht="15">
      <c r="A4" s="363"/>
      <c r="B4" s="41" t="s">
        <v>872</v>
      </c>
      <c r="C4" s="7"/>
      <c r="D4" s="210"/>
      <c r="E4" s="3"/>
      <c r="F4" s="7"/>
      <c r="G4" s="34"/>
    </row>
    <row r="5" spans="1:7">
      <c r="A5" s="363"/>
      <c r="B5" s="40" t="s">
        <v>1063</v>
      </c>
      <c r="C5" s="4"/>
      <c r="D5" s="211"/>
      <c r="E5" s="3"/>
      <c r="F5" s="4"/>
      <c r="G5" s="34"/>
    </row>
    <row r="6" spans="1:7">
      <c r="A6" s="363"/>
      <c r="B6" s="8"/>
      <c r="C6" s="8"/>
      <c r="D6" s="212"/>
      <c r="E6" s="8"/>
      <c r="F6" s="8"/>
      <c r="G6" s="34"/>
    </row>
    <row r="7" spans="1:7">
      <c r="A7" s="363"/>
      <c r="B7" s="8"/>
      <c r="C7" s="8"/>
      <c r="D7" s="212"/>
      <c r="E7" s="8"/>
      <c r="F7" s="8"/>
      <c r="G7" s="34"/>
    </row>
    <row r="8" spans="1:7">
      <c r="A8" s="363"/>
      <c r="B8" s="8"/>
      <c r="C8" s="8"/>
      <c r="D8" s="212"/>
      <c r="E8" s="8"/>
      <c r="F8" s="8"/>
      <c r="G8" s="34"/>
    </row>
    <row r="9" spans="1:7">
      <c r="A9" s="363"/>
      <c r="B9" s="366" t="s">
        <v>873</v>
      </c>
      <c r="C9" s="366"/>
      <c r="D9" s="366"/>
      <c r="E9" s="366"/>
      <c r="F9" s="366"/>
      <c r="G9" s="34"/>
    </row>
    <row r="10" spans="1:7" ht="27" customHeight="1">
      <c r="A10" s="363"/>
      <c r="B10" s="367" t="s">
        <v>448</v>
      </c>
      <c r="C10" s="367"/>
      <c r="D10" s="367"/>
      <c r="E10" s="367"/>
      <c r="F10" s="367"/>
      <c r="G10" s="34"/>
    </row>
    <row r="11" spans="1:7" ht="27" customHeight="1">
      <c r="A11" s="363"/>
      <c r="B11" s="368"/>
      <c r="C11" s="368"/>
      <c r="D11" s="368"/>
      <c r="E11" s="368"/>
      <c r="F11" s="368"/>
      <c r="G11" s="34"/>
    </row>
    <row r="12" spans="1:7">
      <c r="A12" s="363"/>
      <c r="B12" s="42" t="s">
        <v>871</v>
      </c>
      <c r="C12" s="43" t="s">
        <v>874</v>
      </c>
      <c r="D12" s="213" t="s">
        <v>875</v>
      </c>
      <c r="E12" s="43" t="s">
        <v>628</v>
      </c>
      <c r="F12" s="43" t="s">
        <v>629</v>
      </c>
      <c r="G12" s="34"/>
    </row>
    <row r="13" spans="1:7" ht="20">
      <c r="A13" s="363"/>
      <c r="B13" s="2">
        <v>1</v>
      </c>
      <c r="C13" s="37" t="s">
        <v>1111</v>
      </c>
      <c r="D13" s="39" t="s">
        <v>899</v>
      </c>
      <c r="E13" s="196" t="s">
        <v>876</v>
      </c>
      <c r="F13" s="196"/>
      <c r="G13" s="34"/>
    </row>
    <row r="14" spans="1:7" ht="30">
      <c r="A14" s="363"/>
      <c r="B14" s="2">
        <v>2</v>
      </c>
      <c r="C14" s="37" t="s">
        <v>1111</v>
      </c>
      <c r="D14" s="39" t="s">
        <v>1048</v>
      </c>
      <c r="E14" s="196" t="s">
        <v>540</v>
      </c>
      <c r="F14" s="196" t="s">
        <v>541</v>
      </c>
      <c r="G14" s="34"/>
    </row>
    <row r="15" spans="1:7" ht="89.15" customHeight="1">
      <c r="A15" s="363"/>
      <c r="B15" s="348">
        <v>2.0099999999999998</v>
      </c>
      <c r="C15" s="360" t="s">
        <v>1111</v>
      </c>
      <c r="D15" s="369" t="s">
        <v>2358</v>
      </c>
      <c r="E15" s="197" t="s">
        <v>630</v>
      </c>
      <c r="F15" s="197" t="s">
        <v>633</v>
      </c>
      <c r="G15" s="34"/>
    </row>
    <row r="16" spans="1:7" ht="99" customHeight="1">
      <c r="A16" s="363"/>
      <c r="B16" s="349"/>
      <c r="C16" s="361"/>
      <c r="D16" s="370"/>
      <c r="E16" s="198"/>
      <c r="F16" s="198" t="s">
        <v>631</v>
      </c>
      <c r="G16" s="34"/>
    </row>
    <row r="17" spans="1:7" ht="63" customHeight="1">
      <c r="A17" s="363"/>
      <c r="B17" s="350"/>
      <c r="C17" s="362"/>
      <c r="D17" s="371"/>
      <c r="E17" s="37"/>
      <c r="F17" s="37" t="s">
        <v>632</v>
      </c>
      <c r="G17" s="34"/>
    </row>
    <row r="18" spans="1:7" ht="117" customHeight="1">
      <c r="A18" s="363"/>
      <c r="B18" s="348">
        <v>2.02</v>
      </c>
      <c r="C18" s="360" t="s">
        <v>1111</v>
      </c>
      <c r="D18" s="369" t="s">
        <v>2359</v>
      </c>
      <c r="E18" s="197" t="s">
        <v>449</v>
      </c>
      <c r="F18" s="197" t="s">
        <v>535</v>
      </c>
      <c r="G18" s="34"/>
    </row>
    <row r="19" spans="1:7" ht="71.150000000000006" customHeight="1">
      <c r="A19" s="363"/>
      <c r="B19" s="349"/>
      <c r="C19" s="361"/>
      <c r="D19" s="370"/>
      <c r="E19" s="198" t="s">
        <v>539</v>
      </c>
      <c r="F19" s="198" t="s">
        <v>450</v>
      </c>
      <c r="G19" s="34"/>
    </row>
    <row r="20" spans="1:7" ht="90.75" customHeight="1">
      <c r="A20" s="363"/>
      <c r="B20" s="349"/>
      <c r="C20" s="361"/>
      <c r="D20" s="370"/>
      <c r="E20" s="198"/>
      <c r="F20" s="198" t="s">
        <v>635</v>
      </c>
      <c r="G20" s="34"/>
    </row>
    <row r="21" spans="1:7" ht="74.25" customHeight="1">
      <c r="A21" s="363"/>
      <c r="B21" s="350"/>
      <c r="C21" s="362"/>
      <c r="D21" s="371"/>
      <c r="E21" s="37"/>
      <c r="F21" s="37" t="s">
        <v>634</v>
      </c>
      <c r="G21" s="34"/>
    </row>
    <row r="22" spans="1:7" ht="90" customHeight="1">
      <c r="A22" s="363"/>
      <c r="B22" s="354">
        <v>2.0299999999999998</v>
      </c>
      <c r="C22" s="354" t="s">
        <v>845</v>
      </c>
      <c r="D22" s="357" t="s">
        <v>2360</v>
      </c>
      <c r="E22" s="360" t="s">
        <v>447</v>
      </c>
      <c r="F22" s="197" t="s">
        <v>470</v>
      </c>
      <c r="G22" s="34"/>
    </row>
    <row r="23" spans="1:7" ht="109.5" customHeight="1">
      <c r="A23" s="363"/>
      <c r="B23" s="355"/>
      <c r="C23" s="355"/>
      <c r="D23" s="358"/>
      <c r="E23" s="361"/>
      <c r="F23" s="198" t="s">
        <v>846</v>
      </c>
      <c r="G23" s="34"/>
    </row>
    <row r="24" spans="1:7" ht="74.25" customHeight="1">
      <c r="A24" s="363"/>
      <c r="B24" s="356"/>
      <c r="C24" s="356"/>
      <c r="D24" s="359"/>
      <c r="E24" s="362"/>
      <c r="F24" s="37" t="s">
        <v>446</v>
      </c>
      <c r="G24" s="34"/>
    </row>
    <row r="25" spans="1:7" ht="72" customHeight="1">
      <c r="A25" s="363"/>
      <c r="B25" s="2" t="s">
        <v>468</v>
      </c>
      <c r="C25" s="37" t="s">
        <v>469</v>
      </c>
      <c r="D25" s="39" t="s">
        <v>2361</v>
      </c>
      <c r="E25" s="37" t="s">
        <v>2356</v>
      </c>
      <c r="F25" s="37" t="s">
        <v>471</v>
      </c>
      <c r="G25" s="34"/>
    </row>
    <row r="26" spans="1:7" ht="98.15" customHeight="1">
      <c r="A26" s="363"/>
      <c r="B26" s="351">
        <v>3</v>
      </c>
      <c r="C26" s="348" t="s">
        <v>72</v>
      </c>
      <c r="D26" s="369" t="s">
        <v>2362</v>
      </c>
      <c r="E26" s="360" t="s">
        <v>0</v>
      </c>
      <c r="F26" s="197" t="s">
        <v>66</v>
      </c>
      <c r="G26" s="34"/>
    </row>
    <row r="27" spans="1:7" ht="90" customHeight="1">
      <c r="A27" s="363"/>
      <c r="B27" s="352"/>
      <c r="C27" s="349"/>
      <c r="D27" s="370"/>
      <c r="E27" s="361"/>
      <c r="F27" s="198" t="s">
        <v>61</v>
      </c>
      <c r="G27" s="34"/>
    </row>
    <row r="28" spans="1:7" ht="19.399999999999999" customHeight="1">
      <c r="A28" s="363"/>
      <c r="B28" s="352"/>
      <c r="C28" s="349"/>
      <c r="D28" s="370"/>
      <c r="E28" s="361"/>
      <c r="F28" s="198" t="s">
        <v>62</v>
      </c>
      <c r="G28" s="34"/>
    </row>
    <row r="29" spans="1:7" ht="74.5" customHeight="1">
      <c r="A29" s="363"/>
      <c r="B29" s="352"/>
      <c r="C29" s="349"/>
      <c r="D29" s="370"/>
      <c r="E29" s="361"/>
      <c r="F29" s="198" t="s">
        <v>63</v>
      </c>
      <c r="G29" s="34"/>
    </row>
    <row r="30" spans="1:7" ht="62.5" customHeight="1">
      <c r="A30" s="363"/>
      <c r="B30" s="352"/>
      <c r="C30" s="349"/>
      <c r="D30" s="370"/>
      <c r="E30" s="361"/>
      <c r="F30" s="198" t="s">
        <v>64</v>
      </c>
      <c r="G30" s="34"/>
    </row>
    <row r="31" spans="1:7" ht="81" customHeight="1">
      <c r="A31" s="363"/>
      <c r="B31" s="352"/>
      <c r="C31" s="349"/>
      <c r="D31" s="370"/>
      <c r="E31" s="361"/>
      <c r="F31" s="198" t="s">
        <v>65</v>
      </c>
      <c r="G31" s="34"/>
    </row>
    <row r="32" spans="1:7" ht="48.75" customHeight="1">
      <c r="A32" s="363"/>
      <c r="B32" s="352"/>
      <c r="C32" s="349"/>
      <c r="D32" s="370"/>
      <c r="E32" s="361"/>
      <c r="F32" s="198" t="s">
        <v>68</v>
      </c>
      <c r="G32" s="34"/>
    </row>
    <row r="33" spans="1:7" ht="98.5" customHeight="1">
      <c r="A33" s="363"/>
      <c r="B33" s="352"/>
      <c r="C33" s="349"/>
      <c r="D33" s="370"/>
      <c r="E33" s="361"/>
      <c r="F33" s="198" t="s">
        <v>67</v>
      </c>
      <c r="G33" s="34"/>
    </row>
    <row r="34" spans="1:7" ht="89.15" customHeight="1">
      <c r="A34" s="363"/>
      <c r="B34" s="352"/>
      <c r="C34" s="349"/>
      <c r="D34" s="370"/>
      <c r="E34" s="361"/>
      <c r="F34" s="198" t="s">
        <v>69</v>
      </c>
      <c r="G34" s="34"/>
    </row>
    <row r="35" spans="1:7" ht="29.15" customHeight="1">
      <c r="A35" s="363"/>
      <c r="B35" s="352"/>
      <c r="C35" s="349"/>
      <c r="D35" s="370"/>
      <c r="E35" s="361"/>
      <c r="F35" s="198" t="s">
        <v>70</v>
      </c>
      <c r="G35" s="34"/>
    </row>
    <row r="36" spans="1:7" ht="111">
      <c r="A36" s="363"/>
      <c r="B36" s="353"/>
      <c r="C36" s="350"/>
      <c r="D36" s="371"/>
      <c r="E36" s="362"/>
      <c r="F36" s="199" t="s">
        <v>71</v>
      </c>
      <c r="G36" s="34"/>
    </row>
    <row r="37" spans="1:7" ht="100">
      <c r="A37" s="363"/>
      <c r="B37" s="171">
        <v>3.01</v>
      </c>
      <c r="C37" s="172" t="s">
        <v>72</v>
      </c>
      <c r="D37" s="39" t="s">
        <v>2363</v>
      </c>
      <c r="E37" s="200" t="s">
        <v>1351</v>
      </c>
      <c r="F37" s="201" t="s">
        <v>1457</v>
      </c>
      <c r="G37" s="34"/>
    </row>
    <row r="38" spans="1:7" ht="90">
      <c r="A38" s="363"/>
      <c r="B38" s="171">
        <v>3.02</v>
      </c>
      <c r="C38" s="172" t="s">
        <v>1384</v>
      </c>
      <c r="D38" s="39" t="s">
        <v>2364</v>
      </c>
      <c r="E38" s="200" t="s">
        <v>1399</v>
      </c>
      <c r="F38" s="201" t="s">
        <v>1458</v>
      </c>
      <c r="G38" s="34"/>
    </row>
    <row r="39" spans="1:7" ht="80">
      <c r="A39" s="363"/>
      <c r="B39" s="182">
        <v>4</v>
      </c>
      <c r="C39" s="181" t="s">
        <v>1554</v>
      </c>
      <c r="D39" s="39" t="s">
        <v>2365</v>
      </c>
      <c r="E39" s="37" t="s">
        <v>2307</v>
      </c>
      <c r="F39" s="37" t="s">
        <v>1555</v>
      </c>
      <c r="G39" s="34"/>
    </row>
    <row r="40" spans="1:7" ht="50">
      <c r="A40" s="363"/>
      <c r="B40" s="171">
        <v>4.01</v>
      </c>
      <c r="C40" s="181" t="s">
        <v>1554</v>
      </c>
      <c r="D40" s="39" t="s">
        <v>2367</v>
      </c>
      <c r="E40" s="37" t="s">
        <v>2321</v>
      </c>
      <c r="F40" s="37" t="s">
        <v>2326</v>
      </c>
      <c r="G40" s="34"/>
    </row>
    <row r="41" spans="1:7" ht="50">
      <c r="A41" s="363"/>
      <c r="B41" s="171" t="s">
        <v>2354</v>
      </c>
      <c r="C41" s="181" t="s">
        <v>1554</v>
      </c>
      <c r="D41" s="39" t="s">
        <v>2366</v>
      </c>
      <c r="E41" s="37" t="s">
        <v>2357</v>
      </c>
      <c r="F41" s="37" t="s">
        <v>2355</v>
      </c>
      <c r="G41" s="34"/>
    </row>
    <row r="42" spans="1:7" ht="50">
      <c r="A42" s="363"/>
      <c r="B42" s="171" t="s">
        <v>2399</v>
      </c>
      <c r="C42" s="181" t="s">
        <v>1554</v>
      </c>
      <c r="D42" s="39" t="s">
        <v>2406</v>
      </c>
      <c r="E42" s="37" t="s">
        <v>2356</v>
      </c>
      <c r="F42" s="37" t="s">
        <v>2400</v>
      </c>
      <c r="G42" s="34"/>
    </row>
    <row r="43" spans="1:7" ht="110">
      <c r="A43" s="363"/>
      <c r="B43" s="193">
        <v>4.0999999999999996</v>
      </c>
      <c r="C43" s="181" t="s">
        <v>2405</v>
      </c>
      <c r="D43" s="194">
        <v>42867</v>
      </c>
      <c r="E43" s="202" t="s">
        <v>2408</v>
      </c>
      <c r="F43" s="37" t="s">
        <v>2407</v>
      </c>
      <c r="G43" s="34"/>
    </row>
    <row r="44" spans="1:7" ht="70">
      <c r="A44" s="363"/>
      <c r="B44" s="193">
        <v>4.2</v>
      </c>
      <c r="C44" s="181" t="s">
        <v>2405</v>
      </c>
      <c r="D44" s="194">
        <v>42704</v>
      </c>
      <c r="E44" s="202" t="s">
        <v>2625</v>
      </c>
      <c r="F44" s="37" t="s">
        <v>2598</v>
      </c>
      <c r="G44" s="34"/>
    </row>
    <row r="45" spans="1:7" ht="130">
      <c r="A45" s="363"/>
      <c r="B45" s="243">
        <v>5</v>
      </c>
      <c r="C45" s="181" t="s">
        <v>2405</v>
      </c>
      <c r="D45" s="194">
        <v>42867</v>
      </c>
      <c r="E45" s="202" t="s">
        <v>13032</v>
      </c>
      <c r="F45" s="37" t="s">
        <v>12754</v>
      </c>
      <c r="G45" s="34"/>
    </row>
    <row r="46" spans="1:7" ht="30">
      <c r="A46" s="363"/>
      <c r="B46" s="193">
        <v>5.01</v>
      </c>
      <c r="C46" s="181" t="s">
        <v>2405</v>
      </c>
      <c r="D46" s="194">
        <v>42907</v>
      </c>
      <c r="E46" s="202" t="s">
        <v>13052</v>
      </c>
      <c r="F46" s="37" t="s">
        <v>12754</v>
      </c>
      <c r="G46" s="34"/>
    </row>
    <row r="47" spans="1:7" ht="60">
      <c r="A47" s="363"/>
      <c r="B47" s="193">
        <v>5.0999999999999996</v>
      </c>
      <c r="C47" s="181" t="s">
        <v>2405</v>
      </c>
      <c r="D47" s="194">
        <v>43070</v>
      </c>
      <c r="E47" s="202" t="s">
        <v>13247</v>
      </c>
      <c r="F47" s="37" t="s">
        <v>13248</v>
      </c>
      <c r="G47" s="34"/>
    </row>
    <row r="48" spans="1:7" ht="50">
      <c r="A48" s="363"/>
      <c r="B48" s="193">
        <v>5.1100000000000003</v>
      </c>
      <c r="C48" s="181" t="s">
        <v>13489</v>
      </c>
      <c r="D48" s="194">
        <v>43217</v>
      </c>
      <c r="E48" s="202" t="s">
        <v>13617</v>
      </c>
      <c r="F48" s="37" t="s">
        <v>13523</v>
      </c>
      <c r="G48" s="34"/>
    </row>
    <row r="49" spans="1:7" ht="50">
      <c r="A49" s="363"/>
      <c r="B49" s="193">
        <v>5.12</v>
      </c>
      <c r="C49" s="181" t="s">
        <v>13489</v>
      </c>
      <c r="D49" s="194">
        <v>43581</v>
      </c>
      <c r="E49" s="202" t="s">
        <v>13617</v>
      </c>
      <c r="F49" s="37" t="s">
        <v>14191</v>
      </c>
      <c r="G49" s="34"/>
    </row>
    <row r="50" spans="1:7" ht="70">
      <c r="A50" s="363"/>
      <c r="B50" s="243">
        <v>6</v>
      </c>
      <c r="C50" s="181" t="s">
        <v>13489</v>
      </c>
      <c r="D50" s="194">
        <v>43964</v>
      </c>
      <c r="E50" s="202" t="s">
        <v>14434</v>
      </c>
      <c r="F50" s="37" t="s">
        <v>14205</v>
      </c>
      <c r="G50" s="34"/>
    </row>
    <row r="51" spans="1:7" ht="40">
      <c r="A51" s="363"/>
      <c r="B51" s="193">
        <v>6.01</v>
      </c>
      <c r="C51" s="181" t="s">
        <v>13489</v>
      </c>
      <c r="D51" s="194">
        <v>43970</v>
      </c>
      <c r="E51" s="202" t="s">
        <v>15504</v>
      </c>
      <c r="F51" s="202" t="s">
        <v>14205</v>
      </c>
      <c r="G51" s="34"/>
    </row>
    <row r="52" spans="1:7" ht="14" thickBot="1">
      <c r="A52" s="364"/>
      <c r="B52" s="365" t="str">
        <f ca="1">OFFSET(L!$C$1,MATCH("General"&amp;"Cpy",L!$A:$A,0)-1,SL,,)</f>
        <v>© 2020 Responsible Minerals Initiative. All rights reserved.</v>
      </c>
      <c r="C52" s="365"/>
      <c r="D52" s="365"/>
      <c r="E52" s="365"/>
      <c r="F52" s="365"/>
      <c r="G52" s="35"/>
    </row>
    <row r="53" spans="1:7" ht="14"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94"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5"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4" thickBot="1">
      <c r="A33" s="88"/>
      <c r="B33" s="185"/>
      <c r="C33" s="185"/>
      <c r="D33" s="377"/>
    </row>
    <row r="34" spans="1:4" ht="14"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4" zoomScaleNormal="100" zoomScalePageLayoutView="70" workbookViewId="0">
      <selection activeCell="D17" sqref="D17:J1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15506</v>
      </c>
      <c r="K3" s="47"/>
      <c r="L3" s="139"/>
      <c r="M3" s="130"/>
      <c r="N3" s="130"/>
      <c r="O3" s="131"/>
      <c r="P3" s="144">
        <f>MATCH($D$3,LN,0)</f>
        <v>1</v>
      </c>
    </row>
    <row r="4" spans="1:34" ht="1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15" t="s">
        <v>15507</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2" t="s">
        <v>15508</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2" t="s">
        <v>15883</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2" t="s">
        <v>15509</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0" t="s">
        <v>15510</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2" t="s">
        <v>15511</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2" t="s">
        <v>15509</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2" t="s">
        <v>15879</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0" t="s">
        <v>15510</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3"/>
      <c r="D21" s="433" t="s">
        <v>15511</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36">
        <v>44257</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6" t="s">
        <v>498</v>
      </c>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78" t="s">
        <v>500</v>
      </c>
      <c r="E38" s="379"/>
      <c r="F38" s="58"/>
      <c r="G38" s="380" t="s">
        <v>15880</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8" t="s">
        <v>500</v>
      </c>
      <c r="E39" s="379"/>
      <c r="F39" s="58"/>
      <c r="G39" s="380" t="s">
        <v>15880</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8" t="s">
        <v>500</v>
      </c>
      <c r="E40" s="379"/>
      <c r="F40" s="58"/>
      <c r="G40" s="380" t="s">
        <v>15880</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78" t="s">
        <v>500</v>
      </c>
      <c r="E41" s="379"/>
      <c r="F41" s="58"/>
      <c r="G41" s="380" t="s">
        <v>15880</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78" t="s">
        <v>500</v>
      </c>
      <c r="E44" s="379"/>
      <c r="F44" s="58"/>
      <c r="G44" s="380" t="s">
        <v>15880</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78" t="s">
        <v>500</v>
      </c>
      <c r="E45" s="379"/>
      <c r="F45" s="58"/>
      <c r="G45" s="380" t="s">
        <v>15880</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78" t="s">
        <v>500</v>
      </c>
      <c r="E46" s="379"/>
      <c r="F46" s="58"/>
      <c r="G46" s="380" t="s">
        <v>15880</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78" t="s">
        <v>500</v>
      </c>
      <c r="E47" s="379"/>
      <c r="F47" s="58"/>
      <c r="G47" s="380" t="s">
        <v>15880</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399" t="s">
        <v>2626</v>
      </c>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99" t="s">
        <v>2626</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99" t="s">
        <v>2626</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99" t="s">
        <v>2626</v>
      </c>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396" t="s">
        <v>499</v>
      </c>
      <c r="E62" s="397"/>
      <c r="F62" s="58"/>
      <c r="G62" s="380" t="s">
        <v>15881</v>
      </c>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78" t="s">
        <v>499</v>
      </c>
      <c r="E63" s="379"/>
      <c r="F63" s="58"/>
      <c r="G63" s="380" t="s">
        <v>15881</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78" t="s">
        <v>499</v>
      </c>
      <c r="E64" s="379"/>
      <c r="F64" s="58"/>
      <c r="G64" s="380" t="s">
        <v>15881</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78" t="s">
        <v>499</v>
      </c>
      <c r="E65" s="379"/>
      <c r="F65" s="58"/>
      <c r="G65" s="380" t="s">
        <v>15881</v>
      </c>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15882</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15443</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15443</v>
      </c>
    </row>
    <row r="106" spans="2:2" ht="15" hidden="1">
      <c r="B106" s="292" t="s">
        <v>12721</v>
      </c>
    </row>
    <row r="107" spans="2:2" ht="15" hidden="1">
      <c r="B107" s="292" t="s">
        <v>499</v>
      </c>
    </row>
    <row r="108" spans="2:2" ht="15" hidden="1">
      <c r="B108" s="292" t="s">
        <v>14353</v>
      </c>
    </row>
    <row r="109" spans="2:2" ht="15" hidden="1">
      <c r="B109" s="292" t="s">
        <v>14355</v>
      </c>
    </row>
    <row r="110" spans="2:2" ht="15" hidden="1">
      <c r="B110" s="292" t="s">
        <v>14356</v>
      </c>
    </row>
    <row r="111" spans="2:2" ht="1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18" activePane="bottomLeft" state="frozen"/>
      <selection pane="bottomLeft" activeCell="E437" sqref="E437"/>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39" width="8.84375" style="282" customWidth="1"/>
    <col min="40" max="16384" width="8.8437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49999999999999" customHeight="1">
      <c r="A5" s="332"/>
      <c r="B5" s="217" t="s">
        <v>1153</v>
      </c>
      <c r="C5" s="221" t="s">
        <v>14129</v>
      </c>
      <c r="D5" s="283" t="s">
        <v>14129</v>
      </c>
      <c r="E5" s="217" t="s">
        <v>1130</v>
      </c>
      <c r="F5" s="217" t="s">
        <v>14130</v>
      </c>
      <c r="G5" s="217" t="s">
        <v>14250</v>
      </c>
      <c r="H5" s="218">
        <f ca="1">IF(ISERROR($V5),"",OFFSET('Smelter Look-up'!$G$4,$V5-4,0))</f>
        <v>0</v>
      </c>
      <c r="I5" s="219" t="str">
        <f ca="1">IF(ISERROR($V5),"",OFFSET('Smelter Look-up'!$H$4,$V5-4,0))</f>
        <v>Pero</v>
      </c>
      <c r="J5" s="219" t="str">
        <f ca="1">IF(ISERROR($V5),"",OFFSET('Smelter Look-up'!$I$4,$V5-4,0))</f>
        <v>Lombardia</v>
      </c>
      <c r="K5" s="273"/>
      <c r="L5" s="273"/>
      <c r="M5" s="273"/>
      <c r="N5" s="273"/>
      <c r="O5" s="273"/>
      <c r="P5" s="220"/>
      <c r="Q5" s="274"/>
      <c r="R5" s="217" t="str">
        <f ca="1">IF(ISERROR($V5),"",OFFSET('Smelter Look-up'!$C$4,$V5-4,0)&amp;"")</f>
        <v>8853 S.p.A.</v>
      </c>
      <c r="S5" s="225" t="str">
        <f t="shared" ref="S5" ca="1" si="0">IF(B5="","",IF(ISERROR(MATCH($E5,CL,0)),"Unknown",INDIRECT("'C'!$A$"&amp;MATCH($E5,CL,0)+1)))</f>
        <v>IT</v>
      </c>
      <c r="T5" s="225" t="str">
        <f ca="1">IF(B5="","",IF(ISERROR(MATCH($J5,SorP!$B$1:$B$6230,0)),"",INDIRECT("'SorP'!$A$"&amp;MATCH($J5,SorP!$B$1:$B$6230,0))))</f>
        <v>IT-25</v>
      </c>
      <c r="U5" s="241"/>
      <c r="V5" s="275">
        <f>IF(C5="",NA(),MATCH($B5&amp;$C5,'Smelter Look-up'!$J:$J,0))</f>
        <v>5</v>
      </c>
      <c r="W5" s="276"/>
      <c r="X5" s="276">
        <f t="shared" ref="X5" si="1">IF(AND(C5="Smelter not listed",OR(LEN(D5)=0,LEN(E5)=0)),1,0)</f>
        <v>0</v>
      </c>
      <c r="Y5" s="276"/>
      <c r="Z5" s="276"/>
      <c r="AB5" s="278" t="str">
        <f t="shared" ref="AB5" si="2">B5&amp;C5</f>
        <v>Gold8853 S.p.A.</v>
      </c>
    </row>
    <row r="6" spans="1:34" s="277" customFormat="1" ht="20.149999999999999" customHeight="1">
      <c r="A6" s="332"/>
      <c r="B6" s="217" t="s">
        <v>1156</v>
      </c>
      <c r="C6" s="221" t="s">
        <v>1898</v>
      </c>
      <c r="D6" s="283" t="s">
        <v>15512</v>
      </c>
      <c r="E6" s="217" t="s">
        <v>1131</v>
      </c>
      <c r="F6" s="217" t="s">
        <v>810</v>
      </c>
      <c r="G6" s="217" t="s">
        <v>15513</v>
      </c>
      <c r="H6" s="218">
        <f ca="1">IF(ISERROR($V6),"",OFFSET('Smelter Look-up'!$G$4,$V6-4,0))</f>
        <v>0</v>
      </c>
      <c r="I6" s="219">
        <f ca="1">IF(ISERROR($V6),"",OFFSET('Smelter Look-up'!$H$4,$V6-4,0))</f>
        <v>0</v>
      </c>
      <c r="J6" s="219">
        <f ca="1">IF(ISERROR($V6),"",OFFSET('Smelter Look-up'!$I$4,$V6-4,0))</f>
        <v>0</v>
      </c>
      <c r="K6" s="273"/>
      <c r="L6" s="273"/>
      <c r="M6" s="273"/>
      <c r="N6" s="273"/>
      <c r="O6" s="273"/>
      <c r="P6" s="220"/>
      <c r="Q6" s="274"/>
      <c r="R6" s="217" t="str">
        <f ca="1">IF(ISERROR($V6),"",OFFSET('Smelter Look-up'!$C$4,$V6-4,0)&amp;"")</f>
        <v/>
      </c>
      <c r="S6" s="225" t="str">
        <f t="shared" ref="S6:S37" ca="1" si="3">IF(B6="","",IF(ISERROR(MATCH($E6,CL,0)),"Unknown",INDIRECT("'C'!$A$"&amp;MATCH($E6,CL,0)+1)))</f>
        <v>JP</v>
      </c>
      <c r="T6" s="225" t="str">
        <f ca="1">IF(B6="","",IF(ISERROR(MATCH($J6,SorP!$B$1:$B$6230,0)),"",INDIRECT("'SorP'!$A$"&amp;MATCH($J6,SorP!$B$1:$B$6230,0))))</f>
        <v/>
      </c>
      <c r="U6" s="241"/>
      <c r="V6" s="275">
        <f>IF(C6="",NA(),MATCH($B6&amp;$C6,'Smelter Look-up'!$J:$J,0))</f>
        <v>590</v>
      </c>
      <c r="W6" s="276"/>
      <c r="X6" s="276">
        <f t="shared" ref="X6:X37" si="4">IF(AND(C6="Smelter not listed",OR(LEN(D6)=0,LEN(E6)=0)),1,0)</f>
        <v>0</v>
      </c>
      <c r="Y6" s="276"/>
      <c r="Z6" s="276"/>
      <c r="AB6" s="278" t="str">
        <f t="shared" ref="AB6:AB37" si="5">B6&amp;C6</f>
        <v>TungstenSmelter not listed</v>
      </c>
    </row>
    <row r="7" spans="1:34" s="277" customFormat="1" ht="20.149999999999999" customHeight="1">
      <c r="A7" s="332"/>
      <c r="B7" s="217" t="s">
        <v>1153</v>
      </c>
      <c r="C7" s="221" t="s">
        <v>2577</v>
      </c>
      <c r="D7" s="283" t="s">
        <v>2577</v>
      </c>
      <c r="E7" s="217" t="s">
        <v>2576</v>
      </c>
      <c r="F7" s="217" t="s">
        <v>2578</v>
      </c>
      <c r="G7" s="217" t="s">
        <v>15513</v>
      </c>
      <c r="H7" s="218">
        <f ca="1">IF(ISERROR($V7),"",OFFSET('Smelter Look-up'!$G$4,$V7-4,0))</f>
        <v>0</v>
      </c>
      <c r="I7" s="219" t="str">
        <f ca="1">IF(ISERROR($V7),"",OFFSET('Smelter Look-up'!$H$4,$V7-4,0))</f>
        <v>Fairless Hills</v>
      </c>
      <c r="J7" s="219" t="str">
        <f ca="1">IF(ISERROR($V7),"",OFFSET('Smelter Look-up'!$I$4,$V7-4,0))</f>
        <v>Pennsylvania</v>
      </c>
      <c r="K7" s="273"/>
      <c r="L7" s="273"/>
      <c r="M7" s="273"/>
      <c r="N7" s="273"/>
      <c r="O7" s="273"/>
      <c r="P7" s="220"/>
      <c r="Q7" s="274"/>
      <c r="R7" s="217" t="str">
        <f ca="1">IF(ISERROR($V7),"",OFFSET('Smelter Look-up'!$C$4,$V7-4,0)&amp;"")</f>
        <v>Abington Reldan Metals, LLC</v>
      </c>
      <c r="S7" s="225" t="str">
        <f t="shared" ca="1" si="3"/>
        <v>US</v>
      </c>
      <c r="T7" s="225" t="str">
        <f ca="1">IF(B7="","",IF(ISERROR(MATCH($J7,SorP!$B$1:$B$6230,0)),"",INDIRECT("'SorP'!$A$"&amp;MATCH($J7,SorP!$B$1:$B$6230,0))))</f>
        <v>US-PA</v>
      </c>
      <c r="U7" s="241"/>
      <c r="V7" s="275">
        <f>IF(C7="",NA(),MATCH($B7&amp;$C7,'Smelter Look-up'!$J:$J,0))</f>
        <v>6</v>
      </c>
      <c r="W7" s="276"/>
      <c r="X7" s="276">
        <f t="shared" si="4"/>
        <v>0</v>
      </c>
      <c r="Y7" s="276"/>
      <c r="Z7" s="276"/>
      <c r="AB7" s="278" t="str">
        <f t="shared" si="5"/>
        <v>GoldAbington Reldan Metals, LLC</v>
      </c>
    </row>
    <row r="8" spans="1:34" s="277" customFormat="1" ht="20.149999999999999" customHeight="1">
      <c r="A8" s="332"/>
      <c r="B8" s="217" t="s">
        <v>1156</v>
      </c>
      <c r="C8" s="221" t="s">
        <v>2381</v>
      </c>
      <c r="D8" s="283" t="s">
        <v>2381</v>
      </c>
      <c r="E8" s="217" t="s">
        <v>1119</v>
      </c>
      <c r="F8" s="217" t="s">
        <v>2382</v>
      </c>
      <c r="G8" s="217" t="s">
        <v>15513</v>
      </c>
      <c r="H8" s="218">
        <f ca="1">IF(ISERROR($V8),"",OFFSET('Smelter Look-up'!$G$4,$V8-4,0))</f>
        <v>0</v>
      </c>
      <c r="I8" s="219" t="str">
        <f ca="1">IF(ISERROR($V8),"",OFFSET('Smelter Look-up'!$H$4,$V8-4,0))</f>
        <v>Araçariguama</v>
      </c>
      <c r="J8" s="219" t="str">
        <f ca="1">IF(ISERROR($V8),"",OFFSET('Smelter Look-up'!$I$4,$V8-4,0))</f>
        <v>São Paulo</v>
      </c>
      <c r="K8" s="273"/>
      <c r="L8" s="273"/>
      <c r="M8" s="273"/>
      <c r="N8" s="273"/>
      <c r="O8" s="273"/>
      <c r="P8" s="220"/>
      <c r="Q8" s="274"/>
      <c r="R8" s="217" t="str">
        <f ca="1">IF(ISERROR($V8),"",OFFSET('Smelter Look-up'!$C$4,$V8-4,0)&amp;"")</f>
        <v>ACL Metais Eireli</v>
      </c>
      <c r="S8" s="225" t="str">
        <f t="shared" ca="1" si="3"/>
        <v>BR</v>
      </c>
      <c r="T8" s="225" t="str">
        <f ca="1">IF(B8="","",IF(ISERROR(MATCH($J8,SorP!$B$1:$B$6230,0)),"",INDIRECT("'SorP'!$A$"&amp;MATCH($J8,SorP!$B$1:$B$6230,0))))</f>
        <v>BR-SP</v>
      </c>
      <c r="U8" s="241"/>
      <c r="V8" s="275">
        <f>IF(C8="",NA(),MATCH($B8&amp;$C8,'Smelter Look-up'!$J:$J,0))</f>
        <v>488</v>
      </c>
      <c r="W8" s="276"/>
      <c r="X8" s="276">
        <f t="shared" si="4"/>
        <v>0</v>
      </c>
      <c r="Y8" s="276"/>
      <c r="Z8" s="276"/>
      <c r="AB8" s="278" t="str">
        <f t="shared" si="5"/>
        <v>TungstenACL Metais Eireli</v>
      </c>
    </row>
    <row r="9" spans="1:34" s="277" customFormat="1" ht="20.149999999999999" customHeight="1">
      <c r="A9" s="332"/>
      <c r="B9" s="217" t="s">
        <v>1153</v>
      </c>
      <c r="C9" s="221" t="s">
        <v>1407</v>
      </c>
      <c r="D9" s="283" t="s">
        <v>1407</v>
      </c>
      <c r="E9" s="217" t="s">
        <v>2576</v>
      </c>
      <c r="F9" s="217" t="s">
        <v>1408</v>
      </c>
      <c r="G9" s="217" t="s">
        <v>15513</v>
      </c>
      <c r="H9" s="218">
        <f ca="1">IF(ISERROR($V9),"",OFFSET('Smelter Look-up'!$G$4,$V9-4,0))</f>
        <v>0</v>
      </c>
      <c r="I9" s="219" t="str">
        <f ca="1">IF(ISERROR($V9),"",OFFSET('Smelter Look-up'!$H$4,$V9-4,0))</f>
        <v>Warwick</v>
      </c>
      <c r="J9" s="219" t="str">
        <f ca="1">IF(ISERROR($V9),"",OFFSET('Smelter Look-up'!$I$4,$V9-4,0))</f>
        <v>Rhode Island</v>
      </c>
      <c r="K9" s="273"/>
      <c r="L9" s="273"/>
      <c r="M9" s="273"/>
      <c r="N9" s="273"/>
      <c r="O9" s="273"/>
      <c r="P9" s="220"/>
      <c r="Q9" s="274"/>
      <c r="R9" s="217" t="str">
        <f ca="1">IF(ISERROR($V9),"",OFFSET('Smelter Look-up'!$C$4,$V9-4,0)&amp;"")</f>
        <v>Advanced Chemical Company</v>
      </c>
      <c r="S9" s="225" t="str">
        <f t="shared" ca="1" si="3"/>
        <v>US</v>
      </c>
      <c r="T9" s="225" t="str">
        <f ca="1">IF(B9="","",IF(ISERROR(MATCH($J9,SorP!$B$1:$B$6230,0)),"",INDIRECT("'SorP'!$A$"&amp;MATCH($J9,SorP!$B$1:$B$6230,0))))</f>
        <v>US-RI</v>
      </c>
      <c r="U9" s="241"/>
      <c r="V9" s="275">
        <f>IF(C9="",NA(),MATCH($B9&amp;$C9,'Smelter Look-up'!$J:$J,0))</f>
        <v>7</v>
      </c>
      <c r="W9" s="276"/>
      <c r="X9" s="276">
        <f t="shared" si="4"/>
        <v>0</v>
      </c>
      <c r="Y9" s="276"/>
      <c r="Z9" s="276"/>
      <c r="AB9" s="278" t="str">
        <f t="shared" si="5"/>
        <v>GoldAdvanced Chemical Company</v>
      </c>
    </row>
    <row r="10" spans="1:34" s="277" customFormat="1" ht="20.149999999999999" customHeight="1">
      <c r="A10" s="332"/>
      <c r="B10" s="217" t="s">
        <v>1153</v>
      </c>
      <c r="C10" s="221" t="s">
        <v>13249</v>
      </c>
      <c r="D10" s="283" t="s">
        <v>13249</v>
      </c>
      <c r="E10" s="217" t="s">
        <v>913</v>
      </c>
      <c r="F10" s="217" t="s">
        <v>13250</v>
      </c>
      <c r="G10" s="217" t="s">
        <v>15513</v>
      </c>
      <c r="H10" s="218">
        <f ca="1">IF(ISERROR($V10),"",OFFSET('Smelter Look-up'!$G$4,$V10-4,0))</f>
        <v>0</v>
      </c>
      <c r="I10" s="219" t="str">
        <f ca="1">IF(ISERROR($V10),"",OFFSET('Smelter Look-up'!$H$4,$V10-4,0))</f>
        <v>Entebbe</v>
      </c>
      <c r="J10" s="219" t="str">
        <f ca="1">IF(ISERROR($V10),"",OFFSET('Smelter Look-up'!$I$4,$V10-4,0))</f>
        <v>Wakiso</v>
      </c>
      <c r="K10" s="273"/>
      <c r="L10" s="273"/>
      <c r="M10" s="273"/>
      <c r="N10" s="273"/>
      <c r="O10" s="273"/>
      <c r="P10" s="220"/>
      <c r="Q10" s="274"/>
      <c r="R10" s="217" t="str">
        <f ca="1">IF(ISERROR($V10),"",OFFSET('Smelter Look-up'!$C$4,$V10-4,0)&amp;"")</f>
        <v>African Gold Refinery</v>
      </c>
      <c r="S10" s="225" t="str">
        <f t="shared" ca="1" si="3"/>
        <v>UG</v>
      </c>
      <c r="T10" s="225" t="str">
        <f ca="1">IF(B10="","",IF(ISERROR(MATCH($J10,SorP!$B$1:$B$6230,0)),"",INDIRECT("'SorP'!$A$"&amp;MATCH($J10,SorP!$B$1:$B$6230,0))))</f>
        <v>UG-113</v>
      </c>
      <c r="U10" s="241"/>
      <c r="V10" s="275">
        <f>IF(C10="",NA(),MATCH($B10&amp;$C10,'Smelter Look-up'!$J:$J,0))</f>
        <v>8</v>
      </c>
      <c r="W10" s="276"/>
      <c r="X10" s="276">
        <f t="shared" si="4"/>
        <v>0</v>
      </c>
      <c r="Y10" s="276"/>
      <c r="Z10" s="276"/>
      <c r="AB10" s="278" t="str">
        <f t="shared" si="5"/>
        <v>GoldAfrican Gold Refinery</v>
      </c>
    </row>
    <row r="11" spans="1:34" s="277" customFormat="1" ht="20.149999999999999" customHeight="1">
      <c r="A11" s="332"/>
      <c r="B11" s="217" t="s">
        <v>1153</v>
      </c>
      <c r="C11" s="221" t="s">
        <v>1898</v>
      </c>
      <c r="D11" s="283" t="s">
        <v>2244</v>
      </c>
      <c r="E11" s="217" t="s">
        <v>13377</v>
      </c>
      <c r="F11" s="217" t="s">
        <v>14250</v>
      </c>
      <c r="G11" s="217" t="s">
        <v>14250</v>
      </c>
      <c r="H11" s="218" t="s">
        <v>15514</v>
      </c>
      <c r="I11" s="219" t="s">
        <v>1570</v>
      </c>
      <c r="J11" s="219" t="s">
        <v>1571</v>
      </c>
      <c r="K11" s="273"/>
      <c r="L11" s="273"/>
      <c r="M11" s="273"/>
      <c r="N11" s="273"/>
      <c r="O11" s="273"/>
      <c r="P11" s="220"/>
      <c r="Q11" s="274"/>
      <c r="R11" s="217" t="str">
        <f ca="1">IF(ISERROR($V11),"",OFFSET('Smelter Look-up'!$C$4,$V11-4,0)&amp;"")</f>
        <v/>
      </c>
      <c r="S11" s="225" t="str">
        <f t="shared" ca="1" si="3"/>
        <v>JM</v>
      </c>
      <c r="T11" s="225" t="str">
        <f ca="1">IF(B11="","",IF(ISERROR(MATCH($J11,SorP!$B$1:$B$6230,0)),"",INDIRECT("'SorP'!$A$"&amp;MATCH($J11,SorP!$B$1:$B$6230,0))))</f>
        <v>JP-13</v>
      </c>
      <c r="U11" s="241"/>
      <c r="V11" s="275">
        <f>IF(C11="",NA(),MATCH($B11&amp;$C11,'Smelter Look-up'!$J:$J,0))</f>
        <v>293</v>
      </c>
      <c r="W11" s="276"/>
      <c r="X11" s="276">
        <f t="shared" si="4"/>
        <v>0</v>
      </c>
      <c r="Y11" s="276"/>
      <c r="Z11" s="276"/>
      <c r="AB11" s="278" t="str">
        <f t="shared" si="5"/>
        <v>GoldSmelter not listed</v>
      </c>
    </row>
    <row r="12" spans="1:34" s="277" customFormat="1" ht="20.149999999999999" customHeight="1">
      <c r="A12" s="332"/>
      <c r="B12" s="217" t="s">
        <v>1153</v>
      </c>
      <c r="C12" s="221" t="s">
        <v>2244</v>
      </c>
      <c r="D12" s="283" t="s">
        <v>2244</v>
      </c>
      <c r="E12" s="217" t="s">
        <v>1131</v>
      </c>
      <c r="F12" s="217" t="s">
        <v>666</v>
      </c>
      <c r="G12" s="217" t="s">
        <v>15513</v>
      </c>
      <c r="H12" s="218">
        <f ca="1">IF(ISERROR($V12),"",OFFSET('Smelter Look-up'!$G$4,$V12-4,0))</f>
        <v>0</v>
      </c>
      <c r="I12" s="219" t="str">
        <f ca="1">IF(ISERROR($V12),"",OFFSET('Smelter Look-up'!$H$4,$V12-4,0))</f>
        <v>Fuchu</v>
      </c>
      <c r="J12" s="219" t="str">
        <f ca="1">IF(ISERROR($V12),"",OFFSET('Smelter Look-up'!$I$4,$V12-4,0))</f>
        <v>Tokyo</v>
      </c>
      <c r="K12" s="273"/>
      <c r="L12" s="273"/>
      <c r="M12" s="273"/>
      <c r="N12" s="273"/>
      <c r="O12" s="273"/>
      <c r="P12" s="220"/>
      <c r="Q12" s="274"/>
      <c r="R12" s="217" t="str">
        <f ca="1">IF(ISERROR($V12),"",OFFSET('Smelter Look-up'!$C$4,$V12-4,0)&amp;"")</f>
        <v>Aida Chemical Industries Co., Ltd.</v>
      </c>
      <c r="S12" s="225" t="str">
        <f t="shared" ca="1" si="3"/>
        <v>JP</v>
      </c>
      <c r="T12" s="225" t="str">
        <f ca="1">IF(B12="","",IF(ISERROR(MATCH($J12,SorP!$B$1:$B$6230,0)),"",INDIRECT("'SorP'!$A$"&amp;MATCH($J12,SorP!$B$1:$B$6230,0))))</f>
        <v>JP-13</v>
      </c>
      <c r="U12" s="241"/>
      <c r="V12" s="275">
        <f>IF(C12="",NA(),MATCH($B12&amp;$C12,'Smelter Look-up'!$J:$J,0))</f>
        <v>11</v>
      </c>
      <c r="W12" s="276"/>
      <c r="X12" s="276">
        <f t="shared" si="4"/>
        <v>0</v>
      </c>
      <c r="Y12" s="276"/>
      <c r="Z12" s="276"/>
      <c r="AB12" s="278" t="str">
        <f t="shared" si="5"/>
        <v>GoldAida Chemical Industries Co., Ltd.</v>
      </c>
    </row>
    <row r="13" spans="1:34" s="277" customFormat="1" ht="20.149999999999999" customHeight="1">
      <c r="A13" s="332"/>
      <c r="B13" s="217" t="s">
        <v>1153</v>
      </c>
      <c r="C13" s="221" t="s">
        <v>1737</v>
      </c>
      <c r="D13" s="283" t="s">
        <v>1737</v>
      </c>
      <c r="E13" s="217" t="s">
        <v>1115</v>
      </c>
      <c r="F13" s="217" t="s">
        <v>1738</v>
      </c>
      <c r="G13" s="217" t="s">
        <v>15513</v>
      </c>
      <c r="H13" s="218">
        <f ca="1">IF(ISERROR($V13),"",OFFSET('Smelter Look-up'!$G$4,$V13-4,0))</f>
        <v>0</v>
      </c>
      <c r="I13" s="219" t="str">
        <f ca="1">IF(ISERROR($V13),"",OFFSET('Smelter Look-up'!$H$4,$V13-4,0))</f>
        <v>Dubai</v>
      </c>
      <c r="J13" s="219" t="str">
        <f ca="1">IF(ISERROR($V13),"",OFFSET('Smelter Look-up'!$I$4,$V13-4,0))</f>
        <v>Dubayy</v>
      </c>
      <c r="K13" s="273"/>
      <c r="L13" s="273"/>
      <c r="M13" s="273"/>
      <c r="N13" s="273"/>
      <c r="O13" s="273"/>
      <c r="P13" s="220"/>
      <c r="Q13" s="274"/>
      <c r="R13" s="217" t="str">
        <f ca="1">IF(ISERROR($V13),"",OFFSET('Smelter Look-up'!$C$4,$V13-4,0)&amp;"")</f>
        <v>Al Etihad Gold Refinery DMCC</v>
      </c>
      <c r="S13" s="225" t="str">
        <f t="shared" ca="1" si="3"/>
        <v>AE</v>
      </c>
      <c r="T13" s="225" t="str">
        <f ca="1">IF(B13="","",IF(ISERROR(MATCH($J13,SorP!$B$1:$B$6230,0)),"",INDIRECT("'SorP'!$A$"&amp;MATCH($J13,SorP!$B$1:$B$6230,0))))</f>
        <v>AE-DU</v>
      </c>
      <c r="U13" s="241"/>
      <c r="V13" s="275">
        <f>IF(C13="",NA(),MATCH($B13&amp;$C13,'Smelter Look-up'!$J:$J,0))</f>
        <v>13</v>
      </c>
      <c r="W13" s="276"/>
      <c r="X13" s="276">
        <f t="shared" si="4"/>
        <v>0</v>
      </c>
      <c r="Y13" s="276"/>
      <c r="Z13" s="276"/>
      <c r="AB13" s="278" t="str">
        <f t="shared" si="5"/>
        <v>GoldAl Etihad Gold Refinery DMCC</v>
      </c>
    </row>
    <row r="14" spans="1:34" s="277" customFormat="1" ht="20.149999999999999" customHeight="1">
      <c r="A14" s="332"/>
      <c r="B14" s="217" t="s">
        <v>1153</v>
      </c>
      <c r="C14" s="221" t="s">
        <v>1898</v>
      </c>
      <c r="D14" s="283" t="s">
        <v>15515</v>
      </c>
      <c r="E14" s="217" t="s">
        <v>1115</v>
      </c>
      <c r="F14" s="217" t="s">
        <v>14250</v>
      </c>
      <c r="G14" s="217" t="s">
        <v>14250</v>
      </c>
      <c r="H14" s="218">
        <f ca="1">IF(ISERROR($V14),"",OFFSET('Smelter Look-up'!$G$4,$V14-4,0))</f>
        <v>0</v>
      </c>
      <c r="I14" s="219">
        <f ca="1">IF(ISERROR($V14),"",OFFSET('Smelter Look-up'!$H$4,$V14-4,0))</f>
        <v>0</v>
      </c>
      <c r="J14" s="219">
        <f ca="1">IF(ISERROR($V14),"",OFFSET('Smelter Look-up'!$I$4,$V14-4,0))</f>
        <v>0</v>
      </c>
      <c r="K14" s="273"/>
      <c r="L14" s="273"/>
      <c r="M14" s="273"/>
      <c r="N14" s="273"/>
      <c r="O14" s="273"/>
      <c r="P14" s="220"/>
      <c r="Q14" s="274"/>
      <c r="R14" s="217" t="str">
        <f ca="1">IF(ISERROR($V14),"",OFFSET('Smelter Look-up'!$C$4,$V14-4,0)&amp;"")</f>
        <v/>
      </c>
      <c r="S14" s="225" t="str">
        <f t="shared" ca="1" si="3"/>
        <v>AE</v>
      </c>
      <c r="T14" s="225" t="str">
        <f ca="1">IF(B14="","",IF(ISERROR(MATCH($J14,SorP!$B$1:$B$6230,0)),"",INDIRECT("'SorP'!$A$"&amp;MATCH($J14,SorP!$B$1:$B$6230,0))))</f>
        <v/>
      </c>
      <c r="U14" s="241"/>
      <c r="V14" s="275">
        <f>IF(C14="",NA(),MATCH($B14&amp;$C14,'Smelter Look-up'!$J:$J,0))</f>
        <v>293</v>
      </c>
      <c r="W14" s="276"/>
      <c r="X14" s="276">
        <f t="shared" si="4"/>
        <v>0</v>
      </c>
      <c r="Y14" s="276"/>
      <c r="Z14" s="276"/>
      <c r="AB14" s="278" t="str">
        <f t="shared" si="5"/>
        <v>GoldSmelter not listed</v>
      </c>
    </row>
    <row r="15" spans="1:34" s="277" customFormat="1" ht="20.149999999999999" customHeight="1">
      <c r="A15" s="332"/>
      <c r="B15" s="217" t="s">
        <v>1156</v>
      </c>
      <c r="C15" s="221" t="s">
        <v>14226</v>
      </c>
      <c r="D15" s="283" t="s">
        <v>14226</v>
      </c>
      <c r="E15" s="217" t="s">
        <v>1119</v>
      </c>
      <c r="F15" s="217" t="s">
        <v>14242</v>
      </c>
      <c r="G15" s="217" t="s">
        <v>13577</v>
      </c>
      <c r="H15" s="218">
        <f ca="1">IF(ISERROR($V15),"",OFFSET('Smelter Look-up'!$G$4,$V15-4,0))</f>
        <v>0</v>
      </c>
      <c r="I15" s="219" t="str">
        <f ca="1">IF(ISERROR($V15),"",OFFSET('Smelter Look-up'!$H$4,$V15-4,0))</f>
        <v>Sao Paulo</v>
      </c>
      <c r="J15" s="219" t="str">
        <f ca="1">IF(ISERROR($V15),"",OFFSET('Smelter Look-up'!$I$4,$V15-4,0))</f>
        <v>São Paulo</v>
      </c>
      <c r="K15" s="273"/>
      <c r="L15" s="273"/>
      <c r="M15" s="273"/>
      <c r="N15" s="273"/>
      <c r="O15" s="273"/>
      <c r="P15" s="220"/>
      <c r="Q15" s="274"/>
      <c r="R15" s="217" t="str">
        <f ca="1">IF(ISERROR($V15),"",OFFSET('Smelter Look-up'!$C$4,$V15-4,0)&amp;"")</f>
        <v>Albasteel Industria e Comercio de Ligas Para Fundicao Ltd.</v>
      </c>
      <c r="S15" s="225" t="str">
        <f t="shared" ca="1" si="3"/>
        <v>BR</v>
      </c>
      <c r="T15" s="225" t="str">
        <f ca="1">IF(B15="","",IF(ISERROR(MATCH($J15,SorP!$B$1:$B$6230,0)),"",INDIRECT("'SorP'!$A$"&amp;MATCH($J15,SorP!$B$1:$B$6230,0))))</f>
        <v>BR-SP</v>
      </c>
      <c r="U15" s="241"/>
      <c r="V15" s="275">
        <f>IF(C15="",NA(),MATCH($B15&amp;$C15,'Smelter Look-up'!$J:$J,0))</f>
        <v>489</v>
      </c>
      <c r="W15" s="276"/>
      <c r="X15" s="276">
        <f t="shared" si="4"/>
        <v>0</v>
      </c>
      <c r="Y15" s="276"/>
      <c r="Z15" s="276"/>
      <c r="AB15" s="278" t="str">
        <f t="shared" si="5"/>
        <v>TungstenAlbasteel Industria e Comercio de Ligas Para Fundicao Ltd.</v>
      </c>
    </row>
    <row r="16" spans="1:34" s="277" customFormat="1" ht="20.149999999999999" customHeight="1">
      <c r="A16" s="332"/>
      <c r="B16" s="217" t="s">
        <v>1153</v>
      </c>
      <c r="C16" s="221" t="s">
        <v>1898</v>
      </c>
      <c r="D16" s="283" t="s">
        <v>15516</v>
      </c>
      <c r="E16" s="217" t="s">
        <v>2576</v>
      </c>
      <c r="F16" s="217" t="s">
        <v>15517</v>
      </c>
      <c r="G16" s="217" t="s">
        <v>13577</v>
      </c>
      <c r="H16" s="218" t="s">
        <v>15518</v>
      </c>
      <c r="I16" s="219" t="s">
        <v>14250</v>
      </c>
      <c r="J16" s="219" t="s">
        <v>14250</v>
      </c>
      <c r="K16" s="273" t="s">
        <v>15519</v>
      </c>
      <c r="L16" s="273" t="s">
        <v>15520</v>
      </c>
      <c r="M16" s="273"/>
      <c r="N16" s="273"/>
      <c r="O16" s="273" t="s">
        <v>15521</v>
      </c>
      <c r="P16" s="220"/>
      <c r="Q16" s="274"/>
      <c r="R16" s="217" t="str">
        <f ca="1">IF(ISERROR($V16),"",OFFSET('Smelter Look-up'!$C$4,$V16-4,0)&amp;"")</f>
        <v/>
      </c>
      <c r="S16" s="225" t="str">
        <f t="shared" ca="1" si="3"/>
        <v>US</v>
      </c>
      <c r="T16" s="225" t="str">
        <f ca="1">IF(B16="","",IF(ISERROR(MATCH($J16,SorP!$B$1:$B$6230,0)),"",INDIRECT("'SorP'!$A$"&amp;MATCH($J16,SorP!$B$1:$B$6230,0))))</f>
        <v/>
      </c>
      <c r="U16" s="241"/>
      <c r="V16" s="275">
        <f>IF(C16="",NA(),MATCH($B16&amp;$C16,'Smelter Look-up'!$J:$J,0))</f>
        <v>293</v>
      </c>
      <c r="W16" s="276"/>
      <c r="X16" s="276">
        <f t="shared" si="4"/>
        <v>0</v>
      </c>
      <c r="Y16" s="276"/>
      <c r="Z16" s="276"/>
      <c r="AB16" s="278" t="str">
        <f t="shared" si="5"/>
        <v>GoldSmelter not listed</v>
      </c>
    </row>
    <row r="17" spans="1:28" s="277" customFormat="1" ht="20.149999999999999" customHeight="1">
      <c r="A17" s="332"/>
      <c r="B17" s="217" t="s">
        <v>1153</v>
      </c>
      <c r="C17" s="221" t="s">
        <v>54</v>
      </c>
      <c r="D17" s="283" t="s">
        <v>54</v>
      </c>
      <c r="E17" s="217" t="s">
        <v>1124</v>
      </c>
      <c r="F17" s="217" t="s">
        <v>667</v>
      </c>
      <c r="G17" s="217" t="s">
        <v>15513</v>
      </c>
      <c r="H17" s="218">
        <f ca="1">IF(ISERROR($V17),"",OFFSET('Smelter Look-up'!$G$4,$V17-4,0))</f>
        <v>0</v>
      </c>
      <c r="I17" s="219" t="str">
        <f ca="1">IF(ISERROR($V17),"",OFFSET('Smelter Look-up'!$H$4,$V17-4,0))</f>
        <v>Pforzheim</v>
      </c>
      <c r="J17" s="219" t="str">
        <f ca="1">IF(ISERROR($V17),"",OFFSET('Smelter Look-up'!$I$4,$V17-4,0))</f>
        <v>Baden-Württemberg</v>
      </c>
      <c r="K17" s="273"/>
      <c r="L17" s="273"/>
      <c r="M17" s="273"/>
      <c r="N17" s="273"/>
      <c r="O17" s="273"/>
      <c r="P17" s="220"/>
      <c r="Q17" s="274"/>
      <c r="R17" s="217" t="str">
        <f ca="1">IF(ISERROR($V17),"",OFFSET('Smelter Look-up'!$C$4,$V17-4,0)&amp;"")</f>
        <v>Allgemeine Gold-und Silberscheideanstalt A.G.</v>
      </c>
      <c r="S17" s="225" t="str">
        <f t="shared" ca="1" si="3"/>
        <v>DE</v>
      </c>
      <c r="T17" s="225" t="str">
        <f ca="1">IF(B17="","",IF(ISERROR(MATCH($J17,SorP!$B$1:$B$6230,0)),"",INDIRECT("'SorP'!$A$"&amp;MATCH($J17,SorP!$B$1:$B$6230,0))))</f>
        <v>DE-BW</v>
      </c>
      <c r="U17" s="241"/>
      <c r="V17" s="275">
        <f>IF(C17="",NA(),MATCH($B17&amp;$C17,'Smelter Look-up'!$J:$J,0))</f>
        <v>14</v>
      </c>
      <c r="W17" s="276"/>
      <c r="X17" s="276">
        <f t="shared" si="4"/>
        <v>0</v>
      </c>
      <c r="Y17" s="276"/>
      <c r="Z17" s="276"/>
      <c r="AB17" s="278" t="str">
        <f t="shared" si="5"/>
        <v>GoldAllgemeine Gold-und Silberscheideanstalt A.G.</v>
      </c>
    </row>
    <row r="18" spans="1:28" s="277" customFormat="1" ht="20.149999999999999" customHeight="1">
      <c r="A18" s="216"/>
      <c r="B18" s="217" t="s">
        <v>1153</v>
      </c>
      <c r="C18" s="221" t="s">
        <v>640</v>
      </c>
      <c r="D18" s="283" t="s">
        <v>640</v>
      </c>
      <c r="E18" s="217" t="s">
        <v>914</v>
      </c>
      <c r="F18" s="217" t="s">
        <v>668</v>
      </c>
      <c r="G18" s="217" t="s">
        <v>15513</v>
      </c>
      <c r="H18" s="218">
        <f ca="1">IF(ISERROR($V18),"",OFFSET('Smelter Look-up'!$G$4,$V18-4,0))</f>
        <v>0</v>
      </c>
      <c r="I18" s="219" t="str">
        <f ca="1">IF(ISERROR($V18),"",OFFSET('Smelter Look-up'!$H$4,$V18-4,0))</f>
        <v>Almalyk</v>
      </c>
      <c r="J18" s="219" t="str">
        <f ca="1">IF(ISERROR($V18),"",OFFSET('Smelter Look-up'!$I$4,$V18-4,0))</f>
        <v>Toshkent</v>
      </c>
      <c r="K18" s="273"/>
      <c r="L18" s="273"/>
      <c r="M18" s="273"/>
      <c r="N18" s="273"/>
      <c r="O18" s="273"/>
      <c r="P18" s="220"/>
      <c r="Q18" s="274"/>
      <c r="R18" s="217" t="str">
        <f ca="1">IF(ISERROR($V18),"",OFFSET('Smelter Look-up'!$C$4,$V18-4,0)&amp;"")</f>
        <v>Almalyk Mining and Metallurgical Complex (AMMC)</v>
      </c>
      <c r="S18" s="225" t="str">
        <f t="shared" ca="1" si="3"/>
        <v>UZ</v>
      </c>
      <c r="T18" s="225" t="str">
        <f ca="1">IF(B18="","",IF(ISERROR(MATCH($J18,SorP!$B$1:$B$6230,0)),"",INDIRECT("'SorP'!$A$"&amp;MATCH($J18,SorP!$B$1:$B$6230,0))))</f>
        <v>UZ-TK</v>
      </c>
      <c r="U18" s="241"/>
      <c r="V18" s="275">
        <f>IF(C18="",NA(),MATCH($B18&amp;$C18,'Smelter Look-up'!$J:$J,0))</f>
        <v>15</v>
      </c>
      <c r="W18" s="276"/>
      <c r="X18" s="276">
        <f t="shared" si="4"/>
        <v>0</v>
      </c>
      <c r="Y18" s="276"/>
      <c r="Z18" s="276"/>
      <c r="AB18" s="278" t="str">
        <f t="shared" si="5"/>
        <v>GoldAlmalyk Mining and Metallurgical Complex (AMMC)</v>
      </c>
    </row>
    <row r="19" spans="1:28" s="277" customFormat="1" ht="27">
      <c r="A19" s="216"/>
      <c r="B19" s="217" t="s">
        <v>1154</v>
      </c>
      <c r="C19" s="221" t="s">
        <v>51</v>
      </c>
      <c r="D19" s="283" t="s">
        <v>51</v>
      </c>
      <c r="E19" s="217" t="s">
        <v>2576</v>
      </c>
      <c r="F19" s="217" t="s">
        <v>783</v>
      </c>
      <c r="G19" s="217" t="s">
        <v>15513</v>
      </c>
      <c r="H19" s="218">
        <f ca="1">IF(ISERROR($V19),"",OFFSET('Smelter Look-up'!$G$4,$V19-4,0))</f>
        <v>0</v>
      </c>
      <c r="I19" s="219" t="str">
        <f ca="1">IF(ISERROR($V19),"",OFFSET('Smelter Look-up'!$H$4,$V19-4,0))</f>
        <v>Altoona</v>
      </c>
      <c r="J19" s="219" t="str">
        <f ca="1">IF(ISERROR($V19),"",OFFSET('Smelter Look-up'!$I$4,$V19-4,0))</f>
        <v>Pennsylvania</v>
      </c>
      <c r="K19" s="273"/>
      <c r="L19" s="273"/>
      <c r="M19" s="273"/>
      <c r="N19" s="273"/>
      <c r="O19" s="273"/>
      <c r="P19" s="220"/>
      <c r="Q19" s="274"/>
      <c r="R19" s="217" t="str">
        <f ca="1">IF(ISERROR($V19),"",OFFSET('Smelter Look-up'!$C$4,$V19-4,0)&amp;"")</f>
        <v>Alpha</v>
      </c>
      <c r="S19" s="225" t="str">
        <f t="shared" ca="1" si="3"/>
        <v>US</v>
      </c>
      <c r="T19" s="225" t="str">
        <f ca="1">IF(B19="","",IF(ISERROR(MATCH($J19,SorP!$B$1:$B$6230,0)),"",INDIRECT("'SorP'!$A$"&amp;MATCH($J19,SorP!$B$1:$B$6230,0))))</f>
        <v>US-PA</v>
      </c>
      <c r="U19" s="241"/>
      <c r="V19" s="275">
        <f>IF(C19="",NA(),MATCH($B19&amp;$C19,'Smelter Look-up'!$J:$J,0))</f>
        <v>356</v>
      </c>
      <c r="W19" s="276"/>
      <c r="X19" s="276">
        <f t="shared" si="4"/>
        <v>0</v>
      </c>
      <c r="Y19" s="276"/>
      <c r="Z19" s="276"/>
      <c r="AB19" s="278" t="str">
        <f t="shared" si="5"/>
        <v>TinAlpha</v>
      </c>
    </row>
    <row r="20" spans="1:28" s="277" customFormat="1" ht="40.5">
      <c r="A20" s="216"/>
      <c r="B20" s="217" t="s">
        <v>1154</v>
      </c>
      <c r="C20" s="221" t="s">
        <v>1898</v>
      </c>
      <c r="D20" s="283" t="s">
        <v>15522</v>
      </c>
      <c r="E20" s="217" t="s">
        <v>915</v>
      </c>
      <c r="F20" s="217" t="s">
        <v>15523</v>
      </c>
      <c r="G20" s="217" t="s">
        <v>15513</v>
      </c>
      <c r="H20" s="218">
        <f ca="1">IF(ISERROR($V20),"",OFFSET('Smelter Look-up'!$G$4,$V20-4,0))</f>
        <v>0</v>
      </c>
      <c r="I20" s="219">
        <f ca="1">IF(ISERROR($V20),"",OFFSET('Smelter Look-up'!$H$4,$V20-4,0))</f>
        <v>0</v>
      </c>
      <c r="J20" s="219">
        <f ca="1">IF(ISERROR($V20),"",OFFSET('Smelter Look-up'!$I$4,$V20-4,0))</f>
        <v>0</v>
      </c>
      <c r="K20" s="273"/>
      <c r="L20" s="273"/>
      <c r="M20" s="273"/>
      <c r="N20" s="273"/>
      <c r="O20" s="273"/>
      <c r="P20" s="220"/>
      <c r="Q20" s="274"/>
      <c r="R20" s="217" t="str">
        <f ca="1">IF(ISERROR($V20),"",OFFSET('Smelter Look-up'!$C$4,$V20-4,0)&amp;"")</f>
        <v/>
      </c>
      <c r="S20" s="225" t="str">
        <f t="shared" ca="1" si="3"/>
        <v>VN</v>
      </c>
      <c r="T20" s="225" t="str">
        <f ca="1">IF(B20="","",IF(ISERROR(MATCH($J20,SorP!$B$1:$B$6230,0)),"",INDIRECT("'SorP'!$A$"&amp;MATCH($J20,SorP!$B$1:$B$6230,0))))</f>
        <v/>
      </c>
      <c r="U20" s="241"/>
      <c r="V20" s="275">
        <f>IF(C20="",NA(),MATCH($B20&amp;$C20,'Smelter Look-up'!$J:$J,0))</f>
        <v>484</v>
      </c>
      <c r="W20" s="276"/>
      <c r="X20" s="276">
        <f t="shared" si="4"/>
        <v>0</v>
      </c>
      <c r="Y20" s="276"/>
      <c r="Z20" s="276"/>
      <c r="AB20" s="278" t="str">
        <f t="shared" si="5"/>
        <v>TinSmelter not listed</v>
      </c>
    </row>
    <row r="21" spans="1:28" s="277" customFormat="1" ht="121.5">
      <c r="A21" s="216"/>
      <c r="B21" s="217" t="s">
        <v>1154</v>
      </c>
      <c r="C21" s="221" t="s">
        <v>2240</v>
      </c>
      <c r="D21" s="283" t="s">
        <v>2240</v>
      </c>
      <c r="E21" s="217" t="s">
        <v>915</v>
      </c>
      <c r="F21" s="217" t="s">
        <v>2241</v>
      </c>
      <c r="G21" s="217" t="s">
        <v>15513</v>
      </c>
      <c r="H21" s="218">
        <f ca="1">IF(ISERROR($V21),"",OFFSET('Smelter Look-up'!$G$4,$V21-4,0))</f>
        <v>0</v>
      </c>
      <c r="I21" s="219" t="str">
        <f ca="1">IF(ISERROR($V21),"",OFFSET('Smelter Look-up'!$H$4,$V21-4,0))</f>
        <v>Quy Hop</v>
      </c>
      <c r="J21" s="219" t="str">
        <f ca="1">IF(ISERROR($V21),"",OFFSET('Smelter Look-up'!$I$4,$V21-4,0))</f>
        <v>Nghệ An</v>
      </c>
      <c r="K21" s="273"/>
      <c r="L21" s="273"/>
      <c r="M21" s="273"/>
      <c r="N21" s="273"/>
      <c r="O21" s="273"/>
      <c r="P21" s="220"/>
      <c r="Q21" s="274"/>
      <c r="R21" s="217" t="str">
        <f ca="1">IF(ISERROR($V21),"",OFFSET('Smelter Look-up'!$C$4,$V21-4,0)&amp;"")</f>
        <v>An Vinh Joint Stock Mineral Processing Company</v>
      </c>
      <c r="S21" s="225" t="str">
        <f t="shared" ca="1" si="3"/>
        <v>VN</v>
      </c>
      <c r="T21" s="225" t="str">
        <f ca="1">IF(B21="","",IF(ISERROR(MATCH($J21,SorP!$B$1:$B$6230,0)),"",INDIRECT("'SorP'!$A$"&amp;MATCH($J21,SorP!$B$1:$B$6230,0))))</f>
        <v>VN-22</v>
      </c>
      <c r="U21" s="241"/>
      <c r="V21" s="275">
        <f>IF(C21="",NA(),MATCH($B21&amp;$C21,'Smelter Look-up'!$J:$J,0))</f>
        <v>360</v>
      </c>
      <c r="W21" s="276"/>
      <c r="X21" s="276">
        <f t="shared" si="4"/>
        <v>0</v>
      </c>
      <c r="Y21" s="276"/>
      <c r="Z21" s="276"/>
      <c r="AB21" s="278" t="str">
        <f t="shared" si="5"/>
        <v>TinAn Vinh Joint Stock Mineral Processing Company</v>
      </c>
    </row>
    <row r="22" spans="1:28" s="277" customFormat="1" ht="94.5">
      <c r="A22" s="216"/>
      <c r="B22" s="217" t="s">
        <v>1153</v>
      </c>
      <c r="C22" s="221" t="s">
        <v>12755</v>
      </c>
      <c r="D22" s="283" t="s">
        <v>12755</v>
      </c>
      <c r="E22" s="217" t="s">
        <v>1119</v>
      </c>
      <c r="F22" s="217" t="s">
        <v>669</v>
      </c>
      <c r="G22" s="217" t="s">
        <v>15513</v>
      </c>
      <c r="H22" s="218">
        <f ca="1">IF(ISERROR($V22),"",OFFSET('Smelter Look-up'!$G$4,$V22-4,0))</f>
        <v>0</v>
      </c>
      <c r="I22" s="219" t="str">
        <f ca="1">IF(ISERROR($V22),"",OFFSET('Smelter Look-up'!$H$4,$V22-4,0))</f>
        <v>Nova Lima</v>
      </c>
      <c r="J22" s="219" t="str">
        <f ca="1">IF(ISERROR($V22),"",OFFSET('Smelter Look-up'!$I$4,$V22-4,0))</f>
        <v>Minas Gerais</v>
      </c>
      <c r="K22" s="273"/>
      <c r="L22" s="273"/>
      <c r="M22" s="273"/>
      <c r="N22" s="273"/>
      <c r="O22" s="273"/>
      <c r="P22" s="220"/>
      <c r="Q22" s="274"/>
      <c r="R22" s="217" t="str">
        <f ca="1">IF(ISERROR($V22),"",OFFSET('Smelter Look-up'!$C$4,$V22-4,0)&amp;"")</f>
        <v>AngloGold Ashanti Corrego do Sitio Mineracao</v>
      </c>
      <c r="S22" s="225" t="str">
        <f t="shared" ca="1" si="3"/>
        <v>BR</v>
      </c>
      <c r="T22" s="225" t="str">
        <f ca="1">IF(B22="","",IF(ISERROR(MATCH($J22,SorP!$B$1:$B$6230,0)),"",INDIRECT("'SorP'!$A$"&amp;MATCH($J22,SorP!$B$1:$B$6230,0))))</f>
        <v>BR-MG</v>
      </c>
      <c r="U22" s="241"/>
      <c r="V22" s="275">
        <f>IF(C22="",NA(),MATCH($B22&amp;$C22,'Smelter Look-up'!$J:$J,0))</f>
        <v>18</v>
      </c>
      <c r="W22" s="276"/>
      <c r="X22" s="276">
        <f t="shared" si="4"/>
        <v>0</v>
      </c>
      <c r="Y22" s="276"/>
      <c r="Z22" s="276"/>
      <c r="AB22" s="278" t="str">
        <f t="shared" si="5"/>
        <v>GoldAngloGold Ashanti Corrego do Sitio Mineracao</v>
      </c>
    </row>
    <row r="23" spans="1:28" s="277" customFormat="1" ht="81">
      <c r="A23" s="216"/>
      <c r="B23" s="217" t="s">
        <v>1155</v>
      </c>
      <c r="C23" s="221" t="s">
        <v>1898</v>
      </c>
      <c r="D23" s="283" t="s">
        <v>15524</v>
      </c>
      <c r="E23" s="217" t="s">
        <v>1123</v>
      </c>
      <c r="F23" s="217" t="s">
        <v>14250</v>
      </c>
      <c r="G23" s="217" t="s">
        <v>14250</v>
      </c>
      <c r="H23" s="218">
        <f ca="1">IF(ISERROR($V23),"",OFFSET('Smelter Look-up'!$G$4,$V23-4,0))</f>
        <v>0</v>
      </c>
      <c r="I23" s="219">
        <f ca="1">IF(ISERROR($V23),"",OFFSET('Smelter Look-up'!$H$4,$V23-4,0))</f>
        <v>0</v>
      </c>
      <c r="J23" s="219">
        <f ca="1">IF(ISERROR($V23),"",OFFSET('Smelter Look-up'!$I$4,$V23-4,0))</f>
        <v>0</v>
      </c>
      <c r="K23" s="273"/>
      <c r="L23" s="273"/>
      <c r="M23" s="273"/>
      <c r="N23" s="273"/>
      <c r="O23" s="273"/>
      <c r="P23" s="220"/>
      <c r="Q23" s="274" t="s">
        <v>15525</v>
      </c>
      <c r="R23" s="217" t="str">
        <f ca="1">IF(ISERROR($V23),"",OFFSET('Smelter Look-up'!$C$4,$V23-4,0)&amp;"")</f>
        <v/>
      </c>
      <c r="S23" s="225" t="str">
        <f t="shared" ca="1" si="3"/>
        <v>CN</v>
      </c>
      <c r="T23" s="225" t="str">
        <f ca="1">IF(B23="","",IF(ISERROR(MATCH($J23,SorP!$B$1:$B$6230,0)),"",INDIRECT("'SorP'!$A$"&amp;MATCH($J23,SorP!$B$1:$B$6230,0))))</f>
        <v/>
      </c>
      <c r="U23" s="241"/>
      <c r="V23" s="275">
        <f>IF(C23="",NA(),MATCH($B23&amp;$C23,'Smelter Look-up'!$J:$J,0))</f>
        <v>353</v>
      </c>
      <c r="W23" s="276"/>
      <c r="X23" s="276">
        <f t="shared" si="4"/>
        <v>0</v>
      </c>
      <c r="Y23" s="276"/>
      <c r="Z23" s="276"/>
      <c r="AB23" s="278" t="str">
        <f t="shared" si="5"/>
        <v>TantalumSmelter not listed</v>
      </c>
    </row>
    <row r="24" spans="1:28" s="277" customFormat="1" ht="40.5">
      <c r="A24" s="216"/>
      <c r="B24" s="217" t="s">
        <v>1154</v>
      </c>
      <c r="C24" s="221" t="s">
        <v>1898</v>
      </c>
      <c r="D24" s="283" t="s">
        <v>15526</v>
      </c>
      <c r="E24" s="217" t="s">
        <v>2576</v>
      </c>
      <c r="F24" s="217" t="s">
        <v>14250</v>
      </c>
      <c r="G24" s="217" t="s">
        <v>14250</v>
      </c>
      <c r="H24" s="218">
        <f ca="1">IF(ISERROR($V24),"",OFFSET('Smelter Look-up'!$G$4,$V24-4,0))</f>
        <v>0</v>
      </c>
      <c r="I24" s="219">
        <f ca="1">IF(ISERROR($V24),"",OFFSET('Smelter Look-up'!$H$4,$V24-4,0))</f>
        <v>0</v>
      </c>
      <c r="J24" s="219">
        <f ca="1">IF(ISERROR($V24),"",OFFSET('Smelter Look-up'!$I$4,$V24-4,0))</f>
        <v>0</v>
      </c>
      <c r="K24" s="273"/>
      <c r="L24" s="273"/>
      <c r="M24" s="273"/>
      <c r="N24" s="273"/>
      <c r="O24" s="273"/>
      <c r="P24" s="220"/>
      <c r="Q24" s="274"/>
      <c r="R24" s="217" t="str">
        <f ca="1">IF(ISERROR($V24),"",OFFSET('Smelter Look-up'!$C$4,$V24-4,0)&amp;"")</f>
        <v/>
      </c>
      <c r="S24" s="225" t="str">
        <f t="shared" ca="1" si="3"/>
        <v>US</v>
      </c>
      <c r="T24" s="225" t="str">
        <f ca="1">IF(B24="","",IF(ISERROR(MATCH($J24,SorP!$B$1:$B$6230,0)),"",INDIRECT("'SorP'!$A$"&amp;MATCH($J24,SorP!$B$1:$B$6230,0))))</f>
        <v/>
      </c>
      <c r="U24" s="241"/>
      <c r="V24" s="275">
        <f>IF(C24="",NA(),MATCH($B24&amp;$C24,'Smelter Look-up'!$J:$J,0))</f>
        <v>484</v>
      </c>
      <c r="W24" s="276"/>
      <c r="X24" s="276">
        <f t="shared" si="4"/>
        <v>0</v>
      </c>
      <c r="Y24" s="276"/>
      <c r="Z24" s="276"/>
      <c r="AB24" s="278" t="str">
        <f t="shared" si="5"/>
        <v>TinSmelter not listed</v>
      </c>
    </row>
    <row r="25" spans="1:28" s="277" customFormat="1" ht="54">
      <c r="A25" s="216"/>
      <c r="B25" s="217" t="s">
        <v>1153</v>
      </c>
      <c r="C25" s="221" t="s">
        <v>2409</v>
      </c>
      <c r="D25" s="283" t="s">
        <v>2409</v>
      </c>
      <c r="E25" s="217" t="s">
        <v>1121</v>
      </c>
      <c r="F25" s="217" t="s">
        <v>670</v>
      </c>
      <c r="G25" s="217" t="s">
        <v>15513</v>
      </c>
      <c r="H25" s="218">
        <f ca="1">IF(ISERROR($V25),"",OFFSET('Smelter Look-up'!$G$4,$V25-4,0))</f>
        <v>0</v>
      </c>
      <c r="I25" s="219" t="str">
        <f ca="1">IF(ISERROR($V25),"",OFFSET('Smelter Look-up'!$H$4,$V25-4,0))</f>
        <v>Mendrisio</v>
      </c>
      <c r="J25" s="219" t="str">
        <f ca="1">IF(ISERROR($V25),"",OFFSET('Smelter Look-up'!$I$4,$V25-4,0))</f>
        <v>Ticino</v>
      </c>
      <c r="K25" s="273"/>
      <c r="L25" s="273"/>
      <c r="M25" s="273"/>
      <c r="N25" s="273"/>
      <c r="O25" s="273"/>
      <c r="P25" s="220"/>
      <c r="Q25" s="274"/>
      <c r="R25" s="217" t="str">
        <f ca="1">IF(ISERROR($V25),"",OFFSET('Smelter Look-up'!$C$4,$V25-4,0)&amp;"")</f>
        <v>Argor-Heraeus S.A.</v>
      </c>
      <c r="S25" s="225" t="str">
        <f t="shared" ca="1" si="3"/>
        <v>CH</v>
      </c>
      <c r="T25" s="225" t="str">
        <f ca="1">IF(B25="","",IF(ISERROR(MATCH($J25,SorP!$B$1:$B$6230,0)),"",INDIRECT("'SorP'!$A$"&amp;MATCH($J25,SorP!$B$1:$B$6230,0))))</f>
        <v>CH-TI</v>
      </c>
      <c r="U25" s="241"/>
      <c r="V25" s="275">
        <f>IF(C25="",NA(),MATCH($B25&amp;$C25,'Smelter Look-up'!$J:$J,0))</f>
        <v>23</v>
      </c>
      <c r="W25" s="276"/>
      <c r="X25" s="276">
        <f t="shared" si="4"/>
        <v>0</v>
      </c>
      <c r="Y25" s="276"/>
      <c r="Z25" s="276"/>
      <c r="AB25" s="278" t="str">
        <f t="shared" si="5"/>
        <v>GoldArgor-Heraeus S.A.</v>
      </c>
    </row>
    <row r="26" spans="1:28" s="277" customFormat="1" ht="54">
      <c r="A26" s="216"/>
      <c r="B26" s="217" t="s">
        <v>1156</v>
      </c>
      <c r="C26" s="221" t="s">
        <v>1898</v>
      </c>
      <c r="D26" s="283" t="s">
        <v>15527</v>
      </c>
      <c r="E26" s="217" t="s">
        <v>906</v>
      </c>
      <c r="F26" s="217" t="s">
        <v>15528</v>
      </c>
      <c r="G26" s="217" t="s">
        <v>13577</v>
      </c>
      <c r="H26" s="218" t="s">
        <v>15529</v>
      </c>
      <c r="I26" s="219" t="s">
        <v>14250</v>
      </c>
      <c r="J26" s="219" t="s">
        <v>14250</v>
      </c>
      <c r="K26" s="273" t="s">
        <v>15530</v>
      </c>
      <c r="L26" s="273" t="s">
        <v>15531</v>
      </c>
      <c r="M26" s="273"/>
      <c r="N26" s="273"/>
      <c r="O26" s="273" t="s">
        <v>15521</v>
      </c>
      <c r="P26" s="220"/>
      <c r="Q26" s="274"/>
      <c r="R26" s="217" t="str">
        <f ca="1">IF(ISERROR($V26),"",OFFSET('Smelter Look-up'!$C$4,$V26-4,0)&amp;"")</f>
        <v/>
      </c>
      <c r="S26" s="225" t="str">
        <f t="shared" ca="1" si="3"/>
        <v>RU</v>
      </c>
      <c r="T26" s="225" t="str">
        <f ca="1">IF(B26="","",IF(ISERROR(MATCH($J26,SorP!$B$1:$B$6230,0)),"",INDIRECT("'SorP'!$A$"&amp;MATCH($J26,SorP!$B$1:$B$6230,0))))</f>
        <v/>
      </c>
      <c r="U26" s="241"/>
      <c r="V26" s="275">
        <f>IF(C26="",NA(),MATCH($B26&amp;$C26,'Smelter Look-up'!$J:$J,0))</f>
        <v>590</v>
      </c>
      <c r="W26" s="276"/>
      <c r="X26" s="276">
        <f t="shared" si="4"/>
        <v>0</v>
      </c>
      <c r="Y26" s="276"/>
      <c r="Z26" s="276"/>
      <c r="AB26" s="278" t="str">
        <f t="shared" si="5"/>
        <v>TungstenSmelter not listed</v>
      </c>
    </row>
    <row r="27" spans="1:28" s="277" customFormat="1" ht="40.5">
      <c r="A27" s="216"/>
      <c r="B27" s="217" t="s">
        <v>1153</v>
      </c>
      <c r="C27" s="221" t="s">
        <v>1898</v>
      </c>
      <c r="D27" s="283" t="s">
        <v>15532</v>
      </c>
      <c r="E27" s="217" t="s">
        <v>1115</v>
      </c>
      <c r="F27" s="217" t="s">
        <v>14250</v>
      </c>
      <c r="G27" s="217" t="s">
        <v>14250</v>
      </c>
      <c r="H27" s="218">
        <f ca="1">IF(ISERROR($V27),"",OFFSET('Smelter Look-up'!$G$4,$V27-4,0))</f>
        <v>0</v>
      </c>
      <c r="I27" s="219">
        <f ca="1">IF(ISERROR($V27),"",OFFSET('Smelter Look-up'!$H$4,$V27-4,0))</f>
        <v>0</v>
      </c>
      <c r="J27" s="219">
        <f ca="1">IF(ISERROR($V27),"",OFFSET('Smelter Look-up'!$I$4,$V27-4,0))</f>
        <v>0</v>
      </c>
      <c r="K27" s="273"/>
      <c r="L27" s="273"/>
      <c r="M27" s="273"/>
      <c r="N27" s="273"/>
      <c r="O27" s="273"/>
      <c r="P27" s="220"/>
      <c r="Q27" s="274"/>
      <c r="R27" s="217" t="str">
        <f ca="1">IF(ISERROR($V27),"",OFFSET('Smelter Look-up'!$C$4,$V27-4,0)&amp;"")</f>
        <v/>
      </c>
      <c r="S27" s="225" t="str">
        <f t="shared" ca="1" si="3"/>
        <v>AE</v>
      </c>
      <c r="T27" s="225" t="str">
        <f ca="1">IF(B27="","",IF(ISERROR(MATCH($J27,SorP!$B$1:$B$6230,0)),"",INDIRECT("'SorP'!$A$"&amp;MATCH($J27,SorP!$B$1:$B$6230,0))))</f>
        <v/>
      </c>
      <c r="U27" s="241"/>
      <c r="V27" s="275">
        <f>IF(C27="",NA(),MATCH($B27&amp;$C27,'Smelter Look-up'!$J:$J,0))</f>
        <v>293</v>
      </c>
      <c r="W27" s="276"/>
      <c r="X27" s="276">
        <f t="shared" si="4"/>
        <v>0</v>
      </c>
      <c r="Y27" s="276"/>
      <c r="Z27" s="276"/>
      <c r="AB27" s="278" t="str">
        <f t="shared" si="5"/>
        <v>GoldSmelter not listed</v>
      </c>
    </row>
    <row r="28" spans="1:28" s="277" customFormat="1" ht="40.5">
      <c r="A28" s="216"/>
      <c r="B28" s="217" t="s">
        <v>1153</v>
      </c>
      <c r="C28" s="221" t="s">
        <v>2410</v>
      </c>
      <c r="D28" s="283" t="s">
        <v>2410</v>
      </c>
      <c r="E28" s="217" t="s">
        <v>1131</v>
      </c>
      <c r="F28" s="217" t="s">
        <v>671</v>
      </c>
      <c r="G28" s="217" t="s">
        <v>15513</v>
      </c>
      <c r="H28" s="218">
        <f ca="1">IF(ISERROR($V28),"",OFFSET('Smelter Look-up'!$G$4,$V28-4,0))</f>
        <v>0</v>
      </c>
      <c r="I28" s="219" t="str">
        <f ca="1">IF(ISERROR($V28),"",OFFSET('Smelter Look-up'!$H$4,$V28-4,0))</f>
        <v>Kobe</v>
      </c>
      <c r="J28" s="219" t="str">
        <f ca="1">IF(ISERROR($V28),"",OFFSET('Smelter Look-up'!$I$4,$V28-4,0))</f>
        <v>Hyogo</v>
      </c>
      <c r="K28" s="273"/>
      <c r="L28" s="273"/>
      <c r="M28" s="273"/>
      <c r="N28" s="273"/>
      <c r="O28" s="273"/>
      <c r="P28" s="220"/>
      <c r="Q28" s="274"/>
      <c r="R28" s="217" t="str">
        <f ca="1">IF(ISERROR($V28),"",OFFSET('Smelter Look-up'!$C$4,$V28-4,0)&amp;"")</f>
        <v>Asahi Pretec Corp.</v>
      </c>
      <c r="S28" s="225" t="str">
        <f t="shared" ca="1" si="3"/>
        <v>JP</v>
      </c>
      <c r="T28" s="225" t="str">
        <f ca="1">IF(B28="","",IF(ISERROR(MATCH($J28,SorP!$B$1:$B$6230,0)),"",INDIRECT("'SorP'!$A$"&amp;MATCH($J28,SorP!$B$1:$B$6230,0))))</f>
        <v>JP-28</v>
      </c>
      <c r="U28" s="241"/>
      <c r="V28" s="275">
        <f>IF(C28="",NA(),MATCH($B28&amp;$C28,'Smelter Look-up'!$J:$J,0))</f>
        <v>24</v>
      </c>
      <c r="W28" s="276"/>
      <c r="X28" s="276">
        <f t="shared" si="4"/>
        <v>0</v>
      </c>
      <c r="Y28" s="276"/>
      <c r="Z28" s="276"/>
      <c r="AB28" s="278" t="str">
        <f t="shared" si="5"/>
        <v>GoldAsahi Pretec Corp.</v>
      </c>
    </row>
    <row r="29" spans="1:28" s="277" customFormat="1" ht="67.5">
      <c r="A29" s="216"/>
      <c r="B29" s="217" t="s">
        <v>1153</v>
      </c>
      <c r="C29" s="221" t="s">
        <v>2411</v>
      </c>
      <c r="D29" s="283" t="s">
        <v>2411</v>
      </c>
      <c r="E29" s="217" t="s">
        <v>1120</v>
      </c>
      <c r="F29" s="217" t="s">
        <v>705</v>
      </c>
      <c r="G29" s="217" t="s">
        <v>15513</v>
      </c>
      <c r="H29" s="218">
        <f ca="1">IF(ISERROR($V29),"",OFFSET('Smelter Look-up'!$G$4,$V29-4,0))</f>
        <v>0</v>
      </c>
      <c r="I29" s="219" t="str">
        <f ca="1">IF(ISERROR($V29),"",OFFSET('Smelter Look-up'!$H$4,$V29-4,0))</f>
        <v>Brampton</v>
      </c>
      <c r="J29" s="219" t="str">
        <f ca="1">IF(ISERROR($V29),"",OFFSET('Smelter Look-up'!$I$4,$V29-4,0))</f>
        <v>Ontario</v>
      </c>
      <c r="K29" s="273"/>
      <c r="L29" s="273"/>
      <c r="M29" s="273"/>
      <c r="N29" s="273"/>
      <c r="O29" s="273"/>
      <c r="P29" s="220"/>
      <c r="Q29" s="274"/>
      <c r="R29" s="217" t="str">
        <f ca="1">IF(ISERROR($V29),"",OFFSET('Smelter Look-up'!$C$4,$V29-4,0)&amp;"")</f>
        <v>Asahi Refining Canada Ltd.</v>
      </c>
      <c r="S29" s="225" t="str">
        <f t="shared" ca="1" si="3"/>
        <v>CA</v>
      </c>
      <c r="T29" s="225" t="str">
        <f ca="1">IF(B29="","",IF(ISERROR(MATCH($J29,SorP!$B$1:$B$6230,0)),"",INDIRECT("'SorP'!$A$"&amp;MATCH($J29,SorP!$B$1:$B$6230,0))))</f>
        <v>CA-ON</v>
      </c>
      <c r="U29" s="241"/>
      <c r="V29" s="275">
        <f>IF(C29="",NA(),MATCH($B29&amp;$C29,'Smelter Look-up'!$J:$J,0))</f>
        <v>25</v>
      </c>
      <c r="W29" s="276"/>
      <c r="X29" s="276">
        <f t="shared" si="4"/>
        <v>0</v>
      </c>
      <c r="Y29" s="276"/>
      <c r="Z29" s="276"/>
      <c r="AB29" s="278" t="str">
        <f t="shared" si="5"/>
        <v>GoldAsahi Refining Canada Ltd.</v>
      </c>
    </row>
    <row r="30" spans="1:28" s="277" customFormat="1" ht="54">
      <c r="A30" s="216"/>
      <c r="B30" s="217" t="s">
        <v>1153</v>
      </c>
      <c r="C30" s="221" t="s">
        <v>2309</v>
      </c>
      <c r="D30" s="283" t="s">
        <v>2309</v>
      </c>
      <c r="E30" s="217" t="s">
        <v>2576</v>
      </c>
      <c r="F30" s="217" t="s">
        <v>704</v>
      </c>
      <c r="G30" s="217" t="s">
        <v>15513</v>
      </c>
      <c r="H30" s="218">
        <f ca="1">IF(ISERROR($V30),"",OFFSET('Smelter Look-up'!$G$4,$V30-4,0))</f>
        <v>0</v>
      </c>
      <c r="I30" s="219" t="str">
        <f ca="1">IF(ISERROR($V30),"",OFFSET('Smelter Look-up'!$H$4,$V30-4,0))</f>
        <v>Salt Lake City</v>
      </c>
      <c r="J30" s="219" t="str">
        <f ca="1">IF(ISERROR($V30),"",OFFSET('Smelter Look-up'!$I$4,$V30-4,0))</f>
        <v>Utah</v>
      </c>
      <c r="K30" s="273"/>
      <c r="L30" s="273"/>
      <c r="M30" s="273"/>
      <c r="N30" s="273"/>
      <c r="O30" s="273"/>
      <c r="P30" s="220"/>
      <c r="Q30" s="274"/>
      <c r="R30" s="217" t="str">
        <f ca="1">IF(ISERROR($V30),"",OFFSET('Smelter Look-up'!$C$4,$V30-4,0)&amp;"")</f>
        <v>Asahi Refining USA Inc.</v>
      </c>
      <c r="S30" s="225" t="str">
        <f t="shared" ca="1" si="3"/>
        <v>US</v>
      </c>
      <c r="T30" s="225" t="str">
        <f ca="1">IF(B30="","",IF(ISERROR(MATCH($J30,SorP!$B$1:$B$6230,0)),"",INDIRECT("'SorP'!$A$"&amp;MATCH($J30,SorP!$B$1:$B$6230,0))))</f>
        <v>US-UT</v>
      </c>
      <c r="U30" s="241"/>
      <c r="V30" s="275">
        <f>IF(C30="",NA(),MATCH($B30&amp;$C30,'Smelter Look-up'!$J:$J,0))</f>
        <v>26</v>
      </c>
      <c r="W30" s="276"/>
      <c r="X30" s="276">
        <f t="shared" si="4"/>
        <v>0</v>
      </c>
      <c r="Y30" s="276"/>
      <c r="Z30" s="276"/>
      <c r="AB30" s="278" t="str">
        <f t="shared" si="5"/>
        <v>GoldAsahi Refining USA Inc.</v>
      </c>
    </row>
    <row r="31" spans="1:28" s="277" customFormat="1" ht="40.5">
      <c r="A31" s="216"/>
      <c r="B31" s="217" t="s">
        <v>1153</v>
      </c>
      <c r="C31" s="221" t="s">
        <v>2245</v>
      </c>
      <c r="D31" s="283" t="s">
        <v>2245</v>
      </c>
      <c r="E31" s="217" t="s">
        <v>1131</v>
      </c>
      <c r="F31" s="217" t="s">
        <v>672</v>
      </c>
      <c r="G31" s="217" t="s">
        <v>15513</v>
      </c>
      <c r="H31" s="218">
        <f ca="1">IF(ISERROR($V31),"",OFFSET('Smelter Look-up'!$G$4,$V31-4,0))</f>
        <v>0</v>
      </c>
      <c r="I31" s="219" t="str">
        <f ca="1">IF(ISERROR($V31),"",OFFSET('Smelter Look-up'!$H$4,$V31-4,0))</f>
        <v>Tamura</v>
      </c>
      <c r="J31" s="219" t="str">
        <f ca="1">IF(ISERROR($V31),"",OFFSET('Smelter Look-up'!$I$4,$V31-4,0))</f>
        <v>Fukushima</v>
      </c>
      <c r="K31" s="273"/>
      <c r="L31" s="273"/>
      <c r="M31" s="273"/>
      <c r="N31" s="273"/>
      <c r="O31" s="273"/>
      <c r="P31" s="220"/>
      <c r="Q31" s="274"/>
      <c r="R31" s="217" t="str">
        <f ca="1">IF(ISERROR($V31),"",OFFSET('Smelter Look-up'!$C$4,$V31-4,0)&amp;"")</f>
        <v>Asaka Riken Co., Ltd.</v>
      </c>
      <c r="S31" s="225" t="str">
        <f t="shared" ca="1" si="3"/>
        <v>JP</v>
      </c>
      <c r="T31" s="225" t="str">
        <f ca="1">IF(B31="","",IF(ISERROR(MATCH($J31,SorP!$B$1:$B$6230,0)),"",INDIRECT("'SorP'!$A$"&amp;MATCH($J31,SorP!$B$1:$B$6230,0))))</f>
        <v>JP-07</v>
      </c>
      <c r="U31" s="241"/>
      <c r="V31" s="275">
        <f>IF(C31="",NA(),MATCH($B31&amp;$C31,'Smelter Look-up'!$J:$J,0))</f>
        <v>27</v>
      </c>
      <c r="W31" s="276"/>
      <c r="X31" s="276">
        <f t="shared" si="4"/>
        <v>0</v>
      </c>
      <c r="Y31" s="276"/>
      <c r="Z31" s="276"/>
      <c r="AB31" s="278" t="str">
        <f t="shared" si="5"/>
        <v>GoldAsaka Riken Co., Ltd.</v>
      </c>
    </row>
    <row r="32" spans="1:28" s="277" customFormat="1" ht="54">
      <c r="A32" s="216"/>
      <c r="B32" s="217" t="s">
        <v>1155</v>
      </c>
      <c r="C32" s="221" t="s">
        <v>2245</v>
      </c>
      <c r="D32" s="283" t="s">
        <v>2245</v>
      </c>
      <c r="E32" s="217" t="s">
        <v>1131</v>
      </c>
      <c r="F32" s="217" t="s">
        <v>2672</v>
      </c>
      <c r="G32" s="217" t="s">
        <v>15513</v>
      </c>
      <c r="H32" s="218">
        <f ca="1">IF(ISERROR($V32),"",OFFSET('Smelter Look-up'!$G$4,$V32-4,0))</f>
        <v>0</v>
      </c>
      <c r="I32" s="219" t="str">
        <f ca="1">IF(ISERROR($V32),"",OFFSET('Smelter Look-up'!$H$4,$V32-4,0))</f>
        <v>Tamura</v>
      </c>
      <c r="J32" s="219" t="str">
        <f ca="1">IF(ISERROR($V32),"",OFFSET('Smelter Look-up'!$I$4,$V32-4,0))</f>
        <v>Fukushima</v>
      </c>
      <c r="K32" s="273"/>
      <c r="L32" s="273"/>
      <c r="M32" s="273"/>
      <c r="N32" s="273"/>
      <c r="O32" s="273"/>
      <c r="P32" s="220"/>
      <c r="Q32" s="274"/>
      <c r="R32" s="217" t="str">
        <f ca="1">IF(ISERROR($V32),"",OFFSET('Smelter Look-up'!$C$4,$V32-4,0)&amp;"")</f>
        <v>Asaka Riken Co., Ltd.</v>
      </c>
      <c r="S32" s="225" t="str">
        <f t="shared" ca="1" si="3"/>
        <v>JP</v>
      </c>
      <c r="T32" s="225" t="str">
        <f ca="1">IF(B32="","",IF(ISERROR(MATCH($J32,SorP!$B$1:$B$6230,0)),"",INDIRECT("'SorP'!$A$"&amp;MATCH($J32,SorP!$B$1:$B$6230,0))))</f>
        <v>JP-07</v>
      </c>
      <c r="U32" s="241"/>
      <c r="V32" s="275">
        <f>IF(C32="",NA(),MATCH($B32&amp;$C32,'Smelter Look-up'!$J:$J,0))</f>
        <v>295</v>
      </c>
      <c r="W32" s="276"/>
      <c r="X32" s="276">
        <f t="shared" si="4"/>
        <v>0</v>
      </c>
      <c r="Y32" s="276"/>
      <c r="Z32" s="276"/>
      <c r="AB32" s="278" t="str">
        <f t="shared" si="5"/>
        <v>TantalumAsaka Riken Co., Ltd.</v>
      </c>
    </row>
    <row r="33" spans="1:28" s="277" customFormat="1" ht="54">
      <c r="A33" s="216"/>
      <c r="B33" s="217" t="s">
        <v>1156</v>
      </c>
      <c r="C33" s="221" t="s">
        <v>1898</v>
      </c>
      <c r="D33" s="283" t="s">
        <v>15533</v>
      </c>
      <c r="E33" s="217" t="s">
        <v>915</v>
      </c>
      <c r="F33" s="217" t="s">
        <v>14250</v>
      </c>
      <c r="G33" s="217" t="s">
        <v>14250</v>
      </c>
      <c r="H33" s="218" t="s">
        <v>15534</v>
      </c>
      <c r="I33" s="219" t="s">
        <v>2496</v>
      </c>
      <c r="J33" s="219" t="s">
        <v>6885</v>
      </c>
      <c r="K33" s="273"/>
      <c r="L33" s="273"/>
      <c r="M33" s="273"/>
      <c r="N33" s="273"/>
      <c r="O33" s="273"/>
      <c r="P33" s="220"/>
      <c r="Q33" s="274"/>
      <c r="R33" s="217" t="str">
        <f ca="1">IF(ISERROR($V33),"",OFFSET('Smelter Look-up'!$C$4,$V33-4,0)&amp;"")</f>
        <v/>
      </c>
      <c r="S33" s="225" t="str">
        <f t="shared" ca="1" si="3"/>
        <v>VN</v>
      </c>
      <c r="T33" s="225" t="str">
        <f ca="1">IF(B33="","",IF(ISERROR(MATCH($J33,SorP!$B$1:$B$6230,0)),"",INDIRECT("'SorP'!$A$"&amp;MATCH($J33,SorP!$B$1:$B$6230,0))))</f>
        <v>JP-44</v>
      </c>
      <c r="U33" s="241"/>
      <c r="V33" s="275">
        <f>IF(C33="",NA(),MATCH($B33&amp;$C33,'Smelter Look-up'!$J:$J,0))</f>
        <v>590</v>
      </c>
      <c r="W33" s="276"/>
      <c r="X33" s="276">
        <f t="shared" si="4"/>
        <v>0</v>
      </c>
      <c r="Y33" s="276"/>
      <c r="Z33" s="276"/>
      <c r="AB33" s="278" t="str">
        <f t="shared" si="5"/>
        <v>TungstenSmelter not listed</v>
      </c>
    </row>
    <row r="34" spans="1:28" s="277" customFormat="1" ht="94.5">
      <c r="A34" s="216"/>
      <c r="B34" s="217" t="s">
        <v>1156</v>
      </c>
      <c r="C34" s="221" t="s">
        <v>14227</v>
      </c>
      <c r="D34" s="283" t="s">
        <v>14227</v>
      </c>
      <c r="E34" s="217" t="s">
        <v>915</v>
      </c>
      <c r="F34" s="217" t="s">
        <v>14243</v>
      </c>
      <c r="G34" s="217" t="s">
        <v>13577</v>
      </c>
      <c r="H34" s="218">
        <f ca="1">IF(ISERROR($V34),"",OFFSET('Smelter Look-up'!$G$4,$V34-4,0))</f>
        <v>0</v>
      </c>
      <c r="I34" s="219" t="str">
        <f ca="1">IF(ISERROR($V34),"",OFFSET('Smelter Look-up'!$H$4,$V34-4,0))</f>
        <v>Vinh Bao District</v>
      </c>
      <c r="J34" s="219" t="str">
        <f ca="1">IF(ISERROR($V34),"",OFFSET('Smelter Look-up'!$I$4,$V34-4,0))</f>
        <v>Hai Phong</v>
      </c>
      <c r="K34" s="273"/>
      <c r="L34" s="273"/>
      <c r="M34" s="273"/>
      <c r="N34" s="273"/>
      <c r="O34" s="273"/>
      <c r="P34" s="220"/>
      <c r="Q34" s="274"/>
      <c r="R34" s="217" t="str">
        <f ca="1">IF(ISERROR($V34),"",OFFSET('Smelter Look-up'!$C$4,$V34-4,0)&amp;"")</f>
        <v>Asia Tungsten Products Vietnam Ltd.</v>
      </c>
      <c r="S34" s="225" t="str">
        <f t="shared" ca="1" si="3"/>
        <v>VN</v>
      </c>
      <c r="T34" s="225" t="str">
        <f ca="1">IF(B34="","",IF(ISERROR(MATCH($J34,SorP!$B$1:$B$6230,0)),"",INDIRECT("'SorP'!$A$"&amp;MATCH($J34,SorP!$B$1:$B$6230,0))))</f>
        <v>VN-HP</v>
      </c>
      <c r="U34" s="241"/>
      <c r="V34" s="275">
        <f>IF(C34="",NA(),MATCH($B34&amp;$C34,'Smelter Look-up'!$J:$J,0))</f>
        <v>493</v>
      </c>
      <c r="W34" s="276"/>
      <c r="X34" s="276">
        <f t="shared" si="4"/>
        <v>0</v>
      </c>
      <c r="Y34" s="276"/>
      <c r="Z34" s="276"/>
      <c r="AB34" s="278" t="str">
        <f t="shared" si="5"/>
        <v>TungstenAsia Tungsten Products Vietnam Ltd.</v>
      </c>
    </row>
    <row r="35" spans="1:28" s="277" customFormat="1" ht="108">
      <c r="A35" s="216"/>
      <c r="B35" s="217" t="s">
        <v>1153</v>
      </c>
      <c r="C35" s="221" t="s">
        <v>641</v>
      </c>
      <c r="D35" s="283" t="s">
        <v>641</v>
      </c>
      <c r="E35" s="217" t="s">
        <v>912</v>
      </c>
      <c r="F35" s="217" t="s">
        <v>673</v>
      </c>
      <c r="G35" s="217" t="s">
        <v>15513</v>
      </c>
      <c r="H35" s="218">
        <f ca="1">IF(ISERROR($V35),"",OFFSET('Smelter Look-up'!$G$4,$V35-4,0))</f>
        <v>0</v>
      </c>
      <c r="I35" s="219" t="str">
        <f ca="1">IF(ISERROR($V35),"",OFFSET('Smelter Look-up'!$H$4,$V35-4,0))</f>
        <v>Istanbul</v>
      </c>
      <c r="J35" s="219" t="str">
        <f ca="1">IF(ISERROR($V35),"",OFFSET('Smelter Look-up'!$I$4,$V35-4,0))</f>
        <v>İstanbul</v>
      </c>
      <c r="K35" s="273"/>
      <c r="L35" s="273"/>
      <c r="M35" s="273"/>
      <c r="N35" s="273"/>
      <c r="O35" s="273"/>
      <c r="P35" s="220"/>
      <c r="Q35" s="274"/>
      <c r="R35" s="217" t="str">
        <f ca="1">IF(ISERROR($V35),"",OFFSET('Smelter Look-up'!$C$4,$V35-4,0)&amp;"")</f>
        <v>Atasay Kuyumculuk Sanayi Ve Ticaret A.S.</v>
      </c>
      <c r="S35" s="225" t="str">
        <f t="shared" ca="1" si="3"/>
        <v>TR</v>
      </c>
      <c r="T35" s="225" t="str">
        <f ca="1">IF(B35="","",IF(ISERROR(MATCH($J35,SorP!$B$1:$B$6230,0)),"",INDIRECT("'SorP'!$A$"&amp;MATCH($J35,SorP!$B$1:$B$6230,0))))</f>
        <v>TR-34</v>
      </c>
      <c r="U35" s="241"/>
      <c r="V35" s="275">
        <f>IF(C35="",NA(),MATCH($B35&amp;$C35,'Smelter Look-up'!$J:$J,0))</f>
        <v>29</v>
      </c>
      <c r="W35" s="276"/>
      <c r="X35" s="276">
        <f t="shared" si="4"/>
        <v>0</v>
      </c>
      <c r="Y35" s="276"/>
      <c r="Z35" s="276"/>
      <c r="AB35" s="278" t="str">
        <f t="shared" si="5"/>
        <v>GoldAtasay Kuyumculuk Sanayi Ve Ticaret A.S.</v>
      </c>
    </row>
    <row r="36" spans="1:28" s="277" customFormat="1" ht="54">
      <c r="A36" s="216"/>
      <c r="B36" s="217" t="s">
        <v>1153</v>
      </c>
      <c r="C36" s="221" t="s">
        <v>2412</v>
      </c>
      <c r="D36" s="283" t="s">
        <v>2412</v>
      </c>
      <c r="E36" s="217" t="s">
        <v>916</v>
      </c>
      <c r="F36" s="217" t="s">
        <v>2413</v>
      </c>
      <c r="G36" s="217" t="s">
        <v>15513</v>
      </c>
      <c r="H36" s="218">
        <f ca="1">IF(ISERROR($V36),"",OFFSET('Smelter Look-up'!$G$4,$V36-4,0))</f>
        <v>0</v>
      </c>
      <c r="I36" s="219" t="str">
        <f ca="1">IF(ISERROR($V36),"",OFFSET('Smelter Look-up'!$H$4,$V36-4,0))</f>
        <v>Johannesburg</v>
      </c>
      <c r="J36" s="219" t="str">
        <f ca="1">IF(ISERROR($V36),"",OFFSET('Smelter Look-up'!$I$4,$V36-4,0))</f>
        <v>Gauteng</v>
      </c>
      <c r="K36" s="273"/>
      <c r="L36" s="273"/>
      <c r="M36" s="273"/>
      <c r="N36" s="273"/>
      <c r="O36" s="273"/>
      <c r="P36" s="220"/>
      <c r="Q36" s="274"/>
      <c r="R36" s="217" t="str">
        <f ca="1">IF(ISERROR($V36),"",OFFSET('Smelter Look-up'!$C$4,$V36-4,0)&amp;"")</f>
        <v>AU Traders and Refiners</v>
      </c>
      <c r="S36" s="225" t="str">
        <f t="shared" ca="1" si="3"/>
        <v>ZA</v>
      </c>
      <c r="T36" s="225" t="str">
        <f ca="1">IF(B36="","",IF(ISERROR(MATCH($J36,SorP!$B$1:$B$6230,0)),"",INDIRECT("'SorP'!$A$"&amp;MATCH($J36,SorP!$B$1:$B$6230,0))))</f>
        <v>ZA-GT</v>
      </c>
      <c r="U36" s="241"/>
      <c r="V36" s="275">
        <f>IF(C36="",NA(),MATCH($B36&amp;$C36,'Smelter Look-up'!$J:$J,0))</f>
        <v>30</v>
      </c>
      <c r="W36" s="276"/>
      <c r="X36" s="276">
        <f t="shared" si="4"/>
        <v>0</v>
      </c>
      <c r="Y36" s="276"/>
      <c r="Z36" s="276"/>
      <c r="AB36" s="278" t="str">
        <f t="shared" si="5"/>
        <v>GoldAU Traders and Refiners</v>
      </c>
    </row>
    <row r="37" spans="1:28" s="277" customFormat="1" ht="81">
      <c r="A37" s="216"/>
      <c r="B37" s="217" t="s">
        <v>1153</v>
      </c>
      <c r="C37" s="221" t="s">
        <v>14206</v>
      </c>
      <c r="D37" s="283" t="s">
        <v>14206</v>
      </c>
      <c r="E37" s="217" t="s">
        <v>1129</v>
      </c>
      <c r="F37" s="217" t="s">
        <v>14232</v>
      </c>
      <c r="G37" s="217" t="s">
        <v>13577</v>
      </c>
      <c r="H37" s="218">
        <f ca="1">IF(ISERROR($V37),"",OFFSET('Smelter Look-up'!$G$4,$V37-4,0))</f>
        <v>0</v>
      </c>
      <c r="I37" s="219" t="str">
        <f ca="1">IF(ISERROR($V37),"",OFFSET('Smelter Look-up'!$H$4,$V37-4,0))</f>
        <v>Mumbai</v>
      </c>
      <c r="J37" s="219" t="str">
        <f ca="1">IF(ISERROR($V37),"",OFFSET('Smelter Look-up'!$I$4,$V37-4,0))</f>
        <v>Maharashtra</v>
      </c>
      <c r="K37" s="273"/>
      <c r="L37" s="273"/>
      <c r="M37" s="273"/>
      <c r="N37" s="273"/>
      <c r="O37" s="273"/>
      <c r="P37" s="220"/>
      <c r="Q37" s="274"/>
      <c r="R37" s="217" t="str">
        <f ca="1">IF(ISERROR($V37),"",OFFSET('Smelter Look-up'!$C$4,$V37-4,0)&amp;"")</f>
        <v>Augmont Enterprises Private Limited</v>
      </c>
      <c r="S37" s="225" t="str">
        <f t="shared" ca="1" si="3"/>
        <v>IN</v>
      </c>
      <c r="T37" s="225" t="str">
        <f ca="1">IF(B37="","",IF(ISERROR(MATCH($J37,SorP!$B$1:$B$6230,0)),"",INDIRECT("'SorP'!$A$"&amp;MATCH($J37,SorP!$B$1:$B$6230,0))))</f>
        <v>IN-MH</v>
      </c>
      <c r="U37" s="241"/>
      <c r="V37" s="275">
        <f>IF(C37="",NA(),MATCH($B37&amp;$C37,'Smelter Look-up'!$J:$J,0))</f>
        <v>31</v>
      </c>
      <c r="W37" s="276"/>
      <c r="X37" s="276">
        <f t="shared" si="4"/>
        <v>0</v>
      </c>
      <c r="Y37" s="276"/>
      <c r="Z37" s="276"/>
      <c r="AB37" s="278" t="str">
        <f t="shared" si="5"/>
        <v>GoldAugmont Enterprises Private Limited</v>
      </c>
    </row>
    <row r="38" spans="1:28" s="277" customFormat="1" ht="27">
      <c r="A38" s="216"/>
      <c r="B38" s="217" t="s">
        <v>1153</v>
      </c>
      <c r="C38" s="221" t="s">
        <v>1247</v>
      </c>
      <c r="D38" s="283" t="s">
        <v>1247</v>
      </c>
      <c r="E38" s="217" t="s">
        <v>1124</v>
      </c>
      <c r="F38" s="217" t="s">
        <v>674</v>
      </c>
      <c r="G38" s="217" t="s">
        <v>15513</v>
      </c>
      <c r="H38" s="218">
        <f ca="1">IF(ISERROR($V38),"",OFFSET('Smelter Look-up'!$G$4,$V38-4,0))</f>
        <v>0</v>
      </c>
      <c r="I38" s="219" t="str">
        <f ca="1">IF(ISERROR($V38),"",OFFSET('Smelter Look-up'!$H$4,$V38-4,0))</f>
        <v>Hamburg</v>
      </c>
      <c r="J38" s="219" t="str">
        <f ca="1">IF(ISERROR($V38),"",OFFSET('Smelter Look-up'!$I$4,$V38-4,0))</f>
        <v>Hamburg</v>
      </c>
      <c r="K38" s="273"/>
      <c r="L38" s="273"/>
      <c r="M38" s="273"/>
      <c r="N38" s="273"/>
      <c r="O38" s="273"/>
      <c r="P38" s="220"/>
      <c r="Q38" s="274"/>
      <c r="R38" s="217" t="str">
        <f ca="1">IF(ISERROR($V38),"",OFFSET('Smelter Look-up'!$C$4,$V38-4,0)&amp;"")</f>
        <v>Aurubis AG</v>
      </c>
      <c r="S38" s="225" t="str">
        <f t="shared" ref="S38:S68" ca="1" si="6">IF(B38="","",IF(ISERROR(MATCH($E38,CL,0)),"Unknown",INDIRECT("'C'!$A$"&amp;MATCH($E38,CL,0)+1)))</f>
        <v>DE</v>
      </c>
      <c r="T38" s="225" t="str">
        <f ca="1">IF(B38="","",IF(ISERROR(MATCH($J38,SorP!$B$1:$B$6230,0)),"",INDIRECT("'SorP'!$A$"&amp;MATCH($J38,SorP!$B$1:$B$6230,0))))</f>
        <v>DE-HH</v>
      </c>
      <c r="U38" s="241"/>
      <c r="V38" s="275">
        <f>IF(C38="",NA(),MATCH($B38&amp;$C38,'Smelter Look-up'!$J:$J,0))</f>
        <v>32</v>
      </c>
      <c r="W38" s="276"/>
      <c r="X38" s="276">
        <f t="shared" ref="X38:X68" si="7">IF(AND(C38="Smelter not listed",OR(LEN(D38)=0,LEN(E38)=0)),1,0)</f>
        <v>0</v>
      </c>
      <c r="Y38" s="276"/>
      <c r="Z38" s="276"/>
      <c r="AB38" s="278" t="str">
        <f t="shared" ref="AB38:AB68" si="8">B38&amp;C38</f>
        <v>GoldAurubis AG</v>
      </c>
    </row>
    <row r="39" spans="1:28" s="277" customFormat="1" ht="40.5">
      <c r="A39" s="216"/>
      <c r="B39" s="217" t="s">
        <v>1153</v>
      </c>
      <c r="C39" s="221" t="s">
        <v>2416</v>
      </c>
      <c r="D39" s="283" t="s">
        <v>2416</v>
      </c>
      <c r="E39" s="217" t="s">
        <v>1129</v>
      </c>
      <c r="F39" s="217" t="s">
        <v>2417</v>
      </c>
      <c r="G39" s="217" t="s">
        <v>13577</v>
      </c>
      <c r="H39" s="218">
        <f ca="1">IF(ISERROR($V39),"",OFFSET('Smelter Look-up'!$G$4,$V39-4,0))</f>
        <v>0</v>
      </c>
      <c r="I39" s="219" t="str">
        <f ca="1">IF(ISERROR($V39),"",OFFSET('Smelter Look-up'!$H$4,$V39-4,0))</f>
        <v>Bangalore</v>
      </c>
      <c r="J39" s="219" t="str">
        <f ca="1">IF(ISERROR($V39),"",OFFSET('Smelter Look-up'!$I$4,$V39-4,0))</f>
        <v>Karnataka</v>
      </c>
      <c r="K39" s="273"/>
      <c r="L39" s="273"/>
      <c r="M39" s="273"/>
      <c r="N39" s="273"/>
      <c r="O39" s="273"/>
      <c r="P39" s="220"/>
      <c r="Q39" s="274"/>
      <c r="R39" s="217" t="str">
        <f ca="1">IF(ISERROR($V39),"",OFFSET('Smelter Look-up'!$C$4,$V39-4,0)&amp;"")</f>
        <v>Bangalore Refinery</v>
      </c>
      <c r="S39" s="225" t="str">
        <f t="shared" ca="1" si="6"/>
        <v>IN</v>
      </c>
      <c r="T39" s="225" t="str">
        <f ca="1">IF(B39="","",IF(ISERROR(MATCH($J39,SorP!$B$1:$B$6230,0)),"",INDIRECT("'SorP'!$A$"&amp;MATCH($J39,SorP!$B$1:$B$6230,0))))</f>
        <v>IN-KA</v>
      </c>
      <c r="U39" s="241"/>
      <c r="V39" s="275">
        <f>IF(C39="",NA(),MATCH($B39&amp;$C39,'Smelter Look-up'!$J:$J,0))</f>
        <v>34</v>
      </c>
      <c r="W39" s="276"/>
      <c r="X39" s="276">
        <f t="shared" si="7"/>
        <v>0</v>
      </c>
      <c r="Y39" s="276"/>
      <c r="Z39" s="276"/>
      <c r="AB39" s="278" t="str">
        <f t="shared" si="8"/>
        <v>GoldBangalore Refinery</v>
      </c>
    </row>
    <row r="40" spans="1:28" s="277" customFormat="1" ht="135">
      <c r="A40" s="216"/>
      <c r="B40" s="217" t="s">
        <v>1153</v>
      </c>
      <c r="C40" s="221" t="s">
        <v>927</v>
      </c>
      <c r="D40" s="283" t="s">
        <v>927</v>
      </c>
      <c r="E40" s="217" t="s">
        <v>904</v>
      </c>
      <c r="F40" s="217" t="s">
        <v>675</v>
      </c>
      <c r="G40" s="217" t="s">
        <v>15513</v>
      </c>
      <c r="H40" s="218">
        <f ca="1">IF(ISERROR($V40),"",OFFSET('Smelter Look-up'!$G$4,$V40-4,0))</f>
        <v>0</v>
      </c>
      <c r="I40" s="219" t="str">
        <f ca="1">IF(ISERROR($V40),"",OFFSET('Smelter Look-up'!$H$4,$V40-4,0))</f>
        <v>Quezon City</v>
      </c>
      <c r="J40" s="219" t="str">
        <f ca="1">IF(ISERROR($V40),"",OFFSET('Smelter Look-up'!$I$4,$V40-4,0))</f>
        <v>Rizal</v>
      </c>
      <c r="K40" s="273"/>
      <c r="L40" s="273"/>
      <c r="M40" s="273"/>
      <c r="N40" s="273"/>
      <c r="O40" s="273"/>
      <c r="P40" s="220"/>
      <c r="Q40" s="274"/>
      <c r="R40" s="217" t="str">
        <f ca="1">IF(ISERROR($V40),"",OFFSET('Smelter Look-up'!$C$4,$V40-4,0)&amp;"")</f>
        <v>Bangko Sentral ng Pilipinas (Central Bank of the Philippines)</v>
      </c>
      <c r="S40" s="225" t="str">
        <f t="shared" ca="1" si="6"/>
        <v>PH</v>
      </c>
      <c r="T40" s="225" t="str">
        <f ca="1">IF(B40="","",IF(ISERROR(MATCH($J40,SorP!$B$1:$B$6230,0)),"",INDIRECT("'SorP'!$A$"&amp;MATCH($J40,SorP!$B$1:$B$6230,0))))</f>
        <v>PH-RIZ</v>
      </c>
      <c r="U40" s="241"/>
      <c r="V40" s="275">
        <f>IF(C40="",NA(),MATCH($B40&amp;$C40,'Smelter Look-up'!$J:$J,0))</f>
        <v>36</v>
      </c>
      <c r="W40" s="276"/>
      <c r="X40" s="276">
        <f t="shared" si="7"/>
        <v>0</v>
      </c>
      <c r="Y40" s="276"/>
      <c r="Z40" s="276"/>
      <c r="AB40" s="278" t="str">
        <f t="shared" si="8"/>
        <v>GoldBangko Sentral ng Pilipinas (Central Bank of the Philippines)</v>
      </c>
    </row>
    <row r="41" spans="1:28" s="277" customFormat="1" ht="40.5">
      <c r="A41" s="216"/>
      <c r="B41" s="217" t="s">
        <v>1153</v>
      </c>
      <c r="C41" s="221" t="s">
        <v>1898</v>
      </c>
      <c r="D41" s="283" t="s">
        <v>15535</v>
      </c>
      <c r="E41" s="217" t="s">
        <v>1124</v>
      </c>
      <c r="F41" s="217" t="s">
        <v>14250</v>
      </c>
      <c r="G41" s="217" t="s">
        <v>14250</v>
      </c>
      <c r="H41" s="218" t="s">
        <v>15514</v>
      </c>
      <c r="I41" s="219" t="s">
        <v>15514</v>
      </c>
      <c r="J41" s="219" t="s">
        <v>15514</v>
      </c>
      <c r="K41" s="273"/>
      <c r="L41" s="273"/>
      <c r="M41" s="273"/>
      <c r="N41" s="273"/>
      <c r="O41" s="273"/>
      <c r="P41" s="220"/>
      <c r="Q41" s="274"/>
      <c r="R41" s="217" t="str">
        <f ca="1">IF(ISERROR($V41),"",OFFSET('Smelter Look-up'!$C$4,$V41-4,0)&amp;"")</f>
        <v/>
      </c>
      <c r="S41" s="225" t="str">
        <f t="shared" ca="1" si="6"/>
        <v>DE</v>
      </c>
      <c r="T41" s="225" t="str">
        <f ca="1">IF(B41="","",IF(ISERROR(MATCH($J41,SorP!$B$1:$B$6230,0)),"",INDIRECT("'SorP'!$A$"&amp;MATCH($J41,SorP!$B$1:$B$6230,0))))</f>
        <v/>
      </c>
      <c r="U41" s="241"/>
      <c r="V41" s="275">
        <f>IF(C41="",NA(),MATCH($B41&amp;$C41,'Smelter Look-up'!$J:$J,0))</f>
        <v>293</v>
      </c>
      <c r="W41" s="276"/>
      <c r="X41" s="276">
        <f t="shared" si="7"/>
        <v>0</v>
      </c>
      <c r="Y41" s="276"/>
      <c r="Z41" s="276"/>
      <c r="AB41" s="278" t="str">
        <f t="shared" si="8"/>
        <v>GoldSmelter not listed</v>
      </c>
    </row>
    <row r="42" spans="1:28" s="277" customFormat="1" ht="27">
      <c r="A42" s="216"/>
      <c r="B42" s="217" t="s">
        <v>1153</v>
      </c>
      <c r="C42" s="221" t="s">
        <v>1249</v>
      </c>
      <c r="D42" s="283" t="s">
        <v>1249</v>
      </c>
      <c r="E42" s="217" t="s">
        <v>910</v>
      </c>
      <c r="F42" s="217" t="s">
        <v>676</v>
      </c>
      <c r="G42" s="217" t="s">
        <v>15513</v>
      </c>
      <c r="H42" s="218">
        <f ca="1">IF(ISERROR($V42),"",OFFSET('Smelter Look-up'!$G$4,$V42-4,0))</f>
        <v>0</v>
      </c>
      <c r="I42" s="219" t="str">
        <f ca="1">IF(ISERROR($V42),"",OFFSET('Smelter Look-up'!$H$4,$V42-4,0))</f>
        <v>Skelleftehamn</v>
      </c>
      <c r="J42" s="219" t="str">
        <f ca="1">IF(ISERROR($V42),"",OFFSET('Smelter Look-up'!$I$4,$V42-4,0))</f>
        <v>Västerbottens län [SE-24]</v>
      </c>
      <c r="K42" s="273"/>
      <c r="L42" s="273"/>
      <c r="M42" s="273"/>
      <c r="N42" s="273"/>
      <c r="O42" s="273"/>
      <c r="P42" s="220"/>
      <c r="Q42" s="274"/>
      <c r="R42" s="217" t="str">
        <f ca="1">IF(ISERROR($V42),"",OFFSET('Smelter Look-up'!$C$4,$V42-4,0)&amp;"")</f>
        <v>Boliden AB</v>
      </c>
      <c r="S42" s="225" t="str">
        <f t="shared" ca="1" si="6"/>
        <v>SE</v>
      </c>
      <c r="T42" s="225" t="str">
        <f ca="1">IF(B42="","",IF(ISERROR(MATCH($J42,SorP!$B$1:$B$6230,0)),"",INDIRECT("'SorP'!$A$"&amp;MATCH($J42,SorP!$B$1:$B$6230,0))))</f>
        <v>SE-AC</v>
      </c>
      <c r="U42" s="241"/>
      <c r="V42" s="275">
        <f>IF(C42="",NA(),MATCH($B42&amp;$C42,'Smelter Look-up'!$J:$J,0))</f>
        <v>37</v>
      </c>
      <c r="W42" s="276"/>
      <c r="X42" s="276">
        <f t="shared" si="7"/>
        <v>0</v>
      </c>
      <c r="Y42" s="276"/>
      <c r="Z42" s="276"/>
      <c r="AB42" s="278" t="str">
        <f t="shared" si="8"/>
        <v>GoldBoliden AB</v>
      </c>
    </row>
    <row r="43" spans="1:28" s="277" customFormat="1" ht="54">
      <c r="A43" s="216"/>
      <c r="B43" s="217" t="s">
        <v>1153</v>
      </c>
      <c r="C43" s="221" t="s">
        <v>677</v>
      </c>
      <c r="D43" s="283" t="s">
        <v>677</v>
      </c>
      <c r="E43" s="217" t="s">
        <v>1124</v>
      </c>
      <c r="F43" s="217" t="s">
        <v>678</v>
      </c>
      <c r="G43" s="217" t="s">
        <v>15513</v>
      </c>
      <c r="H43" s="218">
        <f ca="1">IF(ISERROR($V43),"",OFFSET('Smelter Look-up'!$G$4,$V43-4,0))</f>
        <v>0</v>
      </c>
      <c r="I43" s="219" t="str">
        <f ca="1">IF(ISERROR($V43),"",OFFSET('Smelter Look-up'!$H$4,$V43-4,0))</f>
        <v>Pforzheim</v>
      </c>
      <c r="J43" s="219" t="str">
        <f ca="1">IF(ISERROR($V43),"",OFFSET('Smelter Look-up'!$I$4,$V43-4,0))</f>
        <v>Baden-Württemberg</v>
      </c>
      <c r="K43" s="273"/>
      <c r="L43" s="273"/>
      <c r="M43" s="273"/>
      <c r="N43" s="273"/>
      <c r="O43" s="273"/>
      <c r="P43" s="220"/>
      <c r="Q43" s="274"/>
      <c r="R43" s="217" t="str">
        <f ca="1">IF(ISERROR($V43),"",OFFSET('Smelter Look-up'!$C$4,$V43-4,0)&amp;"")</f>
        <v>C. Hafner GmbH + Co. KG</v>
      </c>
      <c r="S43" s="225" t="str">
        <f t="shared" ca="1" si="6"/>
        <v>DE</v>
      </c>
      <c r="T43" s="225" t="str">
        <f ca="1">IF(B43="","",IF(ISERROR(MATCH($J43,SorP!$B$1:$B$6230,0)),"",INDIRECT("'SorP'!$A$"&amp;MATCH($J43,SorP!$B$1:$B$6230,0))))</f>
        <v>DE-BW</v>
      </c>
      <c r="U43" s="241"/>
      <c r="V43" s="275">
        <f>IF(C43="",NA(),MATCH($B43&amp;$C43,'Smelter Look-up'!$J:$J,0))</f>
        <v>38</v>
      </c>
      <c r="W43" s="276"/>
      <c r="X43" s="276">
        <f t="shared" si="7"/>
        <v>0</v>
      </c>
      <c r="Y43" s="276"/>
      <c r="Z43" s="276"/>
      <c r="AB43" s="278" t="str">
        <f t="shared" si="8"/>
        <v>GoldC. Hafner GmbH + Co. KG</v>
      </c>
    </row>
    <row r="44" spans="1:28" s="277" customFormat="1" ht="81">
      <c r="A44" s="216"/>
      <c r="B44" s="217" t="s">
        <v>1153</v>
      </c>
      <c r="C44" s="221" t="s">
        <v>14207</v>
      </c>
      <c r="D44" s="283" t="s">
        <v>14207</v>
      </c>
      <c r="E44" s="217" t="s">
        <v>13323</v>
      </c>
      <c r="F44" s="217" t="s">
        <v>14233</v>
      </c>
      <c r="G44" s="217" t="s">
        <v>13577</v>
      </c>
      <c r="H44" s="218">
        <f ca="1">IF(ISERROR($V44),"",OFFSET('Smelter Look-up'!$G$4,$V44-4,0))</f>
        <v>0</v>
      </c>
      <c r="I44" s="219" t="str">
        <f ca="1">IF(ISERROR($V44),"",OFFSET('Smelter Look-up'!$H$4,$V44-4,0))</f>
        <v>Cota</v>
      </c>
      <c r="J44" s="219" t="str">
        <f ca="1">IF(ISERROR($V44),"",OFFSET('Smelter Look-up'!$I$4,$V44-4,0))</f>
        <v>Cundinamarca</v>
      </c>
      <c r="K44" s="273"/>
      <c r="L44" s="273"/>
      <c r="M44" s="273"/>
      <c r="N44" s="273"/>
      <c r="O44" s="273"/>
      <c r="P44" s="220"/>
      <c r="Q44" s="274"/>
      <c r="R44" s="217" t="str">
        <f ca="1">IF(ISERROR($V44),"",OFFSET('Smelter Look-up'!$C$4,$V44-4,0)&amp;"")</f>
        <v>C.I Metales Procesados Industriales SAS</v>
      </c>
      <c r="S44" s="225" t="str">
        <f t="shared" ca="1" si="6"/>
        <v>CO</v>
      </c>
      <c r="T44" s="225" t="str">
        <f ca="1">IF(B44="","",IF(ISERROR(MATCH($J44,SorP!$B$1:$B$6230,0)),"",INDIRECT("'SorP'!$A$"&amp;MATCH($J44,SorP!$B$1:$B$6230,0))))</f>
        <v>CO-CUN</v>
      </c>
      <c r="U44" s="241"/>
      <c r="V44" s="275">
        <f>IF(C44="",NA(),MATCH($B44&amp;$C44,'Smelter Look-up'!$J:$J,0))</f>
        <v>39</v>
      </c>
      <c r="W44" s="276"/>
      <c r="X44" s="276">
        <f t="shared" si="7"/>
        <v>0</v>
      </c>
      <c r="Y44" s="276"/>
      <c r="Z44" s="276"/>
      <c r="AB44" s="278" t="str">
        <f t="shared" si="8"/>
        <v>GoldC.I Metales Procesados Industriales SAS</v>
      </c>
    </row>
    <row r="45" spans="1:28" s="277" customFormat="1" ht="27">
      <c r="A45" s="216"/>
      <c r="B45" s="217" t="s">
        <v>1153</v>
      </c>
      <c r="C45" s="221" t="s">
        <v>928</v>
      </c>
      <c r="D45" s="283" t="s">
        <v>928</v>
      </c>
      <c r="E45" s="217" t="s">
        <v>1136</v>
      </c>
      <c r="F45" s="217" t="s">
        <v>679</v>
      </c>
      <c r="G45" s="217" t="s">
        <v>15513</v>
      </c>
      <c r="H45" s="218">
        <f ca="1">IF(ISERROR($V45),"",OFFSET('Smelter Look-up'!$G$4,$V45-4,0))</f>
        <v>0</v>
      </c>
      <c r="I45" s="219" t="str">
        <f ca="1">IF(ISERROR($V45),"",OFFSET('Smelter Look-up'!$H$4,$V45-4,0))</f>
        <v>Nacozari</v>
      </c>
      <c r="J45" s="219" t="str">
        <f ca="1">IF(ISERROR($V45),"",OFFSET('Smelter Look-up'!$I$4,$V45-4,0))</f>
        <v>Sonora</v>
      </c>
      <c r="K45" s="273"/>
      <c r="L45" s="273"/>
      <c r="M45" s="273"/>
      <c r="N45" s="273"/>
      <c r="O45" s="273"/>
      <c r="P45" s="220"/>
      <c r="Q45" s="274"/>
      <c r="R45" s="217" t="str">
        <f ca="1">IF(ISERROR($V45),"",OFFSET('Smelter Look-up'!$C$4,$V45-4,0)&amp;"")</f>
        <v>Caridad</v>
      </c>
      <c r="S45" s="225" t="str">
        <f t="shared" ca="1" si="6"/>
        <v>MX</v>
      </c>
      <c r="T45" s="225" t="str">
        <f ca="1">IF(B45="","",IF(ISERROR(MATCH($J45,SorP!$B$1:$B$6230,0)),"",INDIRECT("'SorP'!$A$"&amp;MATCH($J45,SorP!$B$1:$B$6230,0))))</f>
        <v>MX-SON</v>
      </c>
      <c r="U45" s="241"/>
      <c r="V45" s="275">
        <f>IF(C45="",NA(),MATCH($B45&amp;$C45,'Smelter Look-up'!$J:$J,0))</f>
        <v>40</v>
      </c>
      <c r="W45" s="276"/>
      <c r="X45" s="276">
        <f t="shared" si="7"/>
        <v>0</v>
      </c>
      <c r="Y45" s="276"/>
      <c r="Z45" s="276"/>
      <c r="AB45" s="278" t="str">
        <f t="shared" si="8"/>
        <v>GoldCaridad</v>
      </c>
    </row>
    <row r="46" spans="1:28" s="277" customFormat="1" ht="94.5">
      <c r="A46" s="216"/>
      <c r="B46" s="217" t="s">
        <v>1153</v>
      </c>
      <c r="C46" s="221" t="s">
        <v>2352</v>
      </c>
      <c r="D46" s="283" t="s">
        <v>2352</v>
      </c>
      <c r="E46" s="217" t="s">
        <v>1120</v>
      </c>
      <c r="F46" s="217" t="s">
        <v>680</v>
      </c>
      <c r="G46" s="217" t="s">
        <v>15513</v>
      </c>
      <c r="H46" s="218">
        <f ca="1">IF(ISERROR($V46),"",OFFSET('Smelter Look-up'!$G$4,$V46-4,0))</f>
        <v>0</v>
      </c>
      <c r="I46" s="219" t="str">
        <f ca="1">IF(ISERROR($V46),"",OFFSET('Smelter Look-up'!$H$4,$V46-4,0))</f>
        <v>Montréal</v>
      </c>
      <c r="J46" s="219" t="str">
        <f ca="1">IF(ISERROR($V46),"",OFFSET('Smelter Look-up'!$I$4,$V46-4,0))</f>
        <v>Quebec</v>
      </c>
      <c r="K46" s="273"/>
      <c r="L46" s="273"/>
      <c r="M46" s="273"/>
      <c r="N46" s="273"/>
      <c r="O46" s="273"/>
      <c r="P46" s="220"/>
      <c r="Q46" s="274"/>
      <c r="R46" s="217" t="str">
        <f ca="1">IF(ISERROR($V46),"",OFFSET('Smelter Look-up'!$C$4,$V46-4,0)&amp;"")</f>
        <v>CCR Refinery - Glencore Canada Corporation</v>
      </c>
      <c r="S46" s="225" t="str">
        <f t="shared" ca="1" si="6"/>
        <v>CA</v>
      </c>
      <c r="T46" s="225" t="str">
        <f ca="1">IF(B46="","",IF(ISERROR(MATCH($J46,SorP!$B$1:$B$6230,0)),"",INDIRECT("'SorP'!$A$"&amp;MATCH($J46,SorP!$B$1:$B$6230,0))))</f>
        <v>CA-QC</v>
      </c>
      <c r="U46" s="241"/>
      <c r="V46" s="275">
        <f>IF(C46="",NA(),MATCH($B46&amp;$C46,'Smelter Look-up'!$J:$J,0))</f>
        <v>43</v>
      </c>
      <c r="W46" s="276"/>
      <c r="X46" s="276">
        <f t="shared" si="7"/>
        <v>0</v>
      </c>
      <c r="Y46" s="276"/>
      <c r="Z46" s="276"/>
      <c r="AB46" s="278" t="str">
        <f t="shared" si="8"/>
        <v>GoldCCR Refinery - Glencore Canada Corporation</v>
      </c>
    </row>
    <row r="47" spans="1:28" s="277" customFormat="1" ht="54">
      <c r="A47" s="216"/>
      <c r="B47" s="217" t="s">
        <v>1153</v>
      </c>
      <c r="C47" s="221" t="s">
        <v>2639</v>
      </c>
      <c r="D47" s="283" t="s">
        <v>2639</v>
      </c>
      <c r="E47" s="217" t="s">
        <v>1121</v>
      </c>
      <c r="F47" s="217" t="s">
        <v>681</v>
      </c>
      <c r="G47" s="217" t="s">
        <v>15513</v>
      </c>
      <c r="H47" s="218">
        <f ca="1">IF(ISERROR($V47),"",OFFSET('Smelter Look-up'!$G$4,$V47-4,0))</f>
        <v>0</v>
      </c>
      <c r="I47" s="219" t="str">
        <f ca="1">IF(ISERROR($V47),"",OFFSET('Smelter Look-up'!$H$4,$V47-4,0))</f>
        <v>Biel-Bienne</v>
      </c>
      <c r="J47" s="219" t="str">
        <f ca="1">IF(ISERROR($V47),"",OFFSET('Smelter Look-up'!$I$4,$V47-4,0))</f>
        <v>Bern</v>
      </c>
      <c r="K47" s="273"/>
      <c r="L47" s="273"/>
      <c r="M47" s="273"/>
      <c r="N47" s="273"/>
      <c r="O47" s="273"/>
      <c r="P47" s="220"/>
      <c r="Q47" s="274"/>
      <c r="R47" s="217" t="str">
        <f ca="1">IF(ISERROR($V47),"",OFFSET('Smelter Look-up'!$C$4,$V47-4,0)&amp;"")</f>
        <v>Cendres + Metaux S.A.</v>
      </c>
      <c r="S47" s="225" t="str">
        <f t="shared" ca="1" si="6"/>
        <v>CH</v>
      </c>
      <c r="T47" s="225" t="str">
        <f ca="1">IF(B47="","",IF(ISERROR(MATCH($J47,SorP!$B$1:$B$6230,0)),"",INDIRECT("'SorP'!$A$"&amp;MATCH($J47,SorP!$B$1:$B$6230,0))))</f>
        <v>CH-BE</v>
      </c>
      <c r="U47" s="241"/>
      <c r="V47" s="275">
        <f>IF(C47="",NA(),MATCH($B47&amp;$C47,'Smelter Look-up'!$J:$J,0))</f>
        <v>46</v>
      </c>
      <c r="W47" s="276"/>
      <c r="X47" s="276">
        <f t="shared" si="7"/>
        <v>0</v>
      </c>
      <c r="Y47" s="276"/>
      <c r="Z47" s="276"/>
      <c r="AB47" s="278" t="str">
        <f t="shared" si="8"/>
        <v>GoldCendres + Metaux S.A.</v>
      </c>
    </row>
    <row r="48" spans="1:28" s="277" customFormat="1" ht="54">
      <c r="A48" s="216"/>
      <c r="B48" s="217" t="s">
        <v>1153</v>
      </c>
      <c r="C48" s="221" t="s">
        <v>14132</v>
      </c>
      <c r="D48" s="283" t="s">
        <v>14132</v>
      </c>
      <c r="E48" s="217" t="s">
        <v>1129</v>
      </c>
      <c r="F48" s="217" t="s">
        <v>14133</v>
      </c>
      <c r="G48" s="217" t="s">
        <v>14250</v>
      </c>
      <c r="H48" s="218">
        <f ca="1">IF(ISERROR($V48),"",OFFSET('Smelter Look-up'!$G$4,$V48-4,0))</f>
        <v>0</v>
      </c>
      <c r="I48" s="219" t="str">
        <f ca="1">IF(ISERROR($V48),"",OFFSET('Smelter Look-up'!$H$4,$V48-4,0))</f>
        <v>Cochin</v>
      </c>
      <c r="J48" s="219" t="str">
        <f ca="1">IF(ISERROR($V48),"",OFFSET('Smelter Look-up'!$I$4,$V48-4,0))</f>
        <v>Kerala</v>
      </c>
      <c r="K48" s="273"/>
      <c r="L48" s="273"/>
      <c r="M48" s="273"/>
      <c r="N48" s="273"/>
      <c r="O48" s="273"/>
      <c r="P48" s="220"/>
      <c r="Q48" s="274"/>
      <c r="R48" s="217" t="str">
        <f ca="1">IF(ISERROR($V48),"",OFFSET('Smelter Look-up'!$C$4,$V48-4,0)&amp;"")</f>
        <v>CGR Metalloys Pvt Ltd.</v>
      </c>
      <c r="S48" s="225" t="str">
        <f t="shared" ca="1" si="6"/>
        <v>IN</v>
      </c>
      <c r="T48" s="225" t="str">
        <f ca="1">IF(B48="","",IF(ISERROR(MATCH($J48,SorP!$B$1:$B$6230,0)),"",INDIRECT("'SorP'!$A$"&amp;MATCH($J48,SorP!$B$1:$B$6230,0))))</f>
        <v>IN-KL</v>
      </c>
      <c r="U48" s="241"/>
      <c r="V48" s="275">
        <f>IF(C48="",NA(),MATCH($B48&amp;$C48,'Smelter Look-up'!$J:$J,0))</f>
        <v>49</v>
      </c>
      <c r="W48" s="276"/>
      <c r="X48" s="276">
        <f t="shared" si="7"/>
        <v>0</v>
      </c>
      <c r="Y48" s="276"/>
      <c r="Z48" s="276"/>
      <c r="AB48" s="278" t="str">
        <f t="shared" si="8"/>
        <v>GoldCGR Metalloys Pvt Ltd.</v>
      </c>
    </row>
    <row r="49" spans="1:28" s="277" customFormat="1" ht="108">
      <c r="A49" s="216"/>
      <c r="B49" s="217" t="s">
        <v>1155</v>
      </c>
      <c r="C49" s="221" t="s">
        <v>3</v>
      </c>
      <c r="D49" s="283" t="s">
        <v>3</v>
      </c>
      <c r="E49" s="217" t="s">
        <v>1123</v>
      </c>
      <c r="F49" s="217" t="s">
        <v>764</v>
      </c>
      <c r="G49" s="217" t="s">
        <v>15513</v>
      </c>
      <c r="H49" s="218">
        <f ca="1">IF(ISERROR($V49),"",OFFSET('Smelter Look-up'!$G$4,$V49-4,0))</f>
        <v>0</v>
      </c>
      <c r="I49" s="219" t="str">
        <f ca="1">IF(ISERROR($V49),"",OFFSET('Smelter Look-up'!$H$4,$V49-4,0))</f>
        <v>Changsha</v>
      </c>
      <c r="J49" s="219" t="str">
        <f ca="1">IF(ISERROR($V49),"",OFFSET('Smelter Look-up'!$I$4,$V49-4,0))</f>
        <v>Hunan Sheng</v>
      </c>
      <c r="K49" s="273"/>
      <c r="L49" s="273"/>
      <c r="M49" s="273"/>
      <c r="N49" s="273"/>
      <c r="O49" s="273"/>
      <c r="P49" s="220"/>
      <c r="Q49" s="274"/>
      <c r="R49" s="217" t="str">
        <f ca="1">IF(ISERROR($V49),"",OFFSET('Smelter Look-up'!$C$4,$V49-4,0)&amp;"")</f>
        <v>Changsha South Tantalum Niobium Co., Ltd.</v>
      </c>
      <c r="S49" s="225" t="str">
        <f t="shared" ca="1" si="6"/>
        <v>CN</v>
      </c>
      <c r="T49" s="225" t="str">
        <f ca="1">IF(B49="","",IF(ISERROR(MATCH($J49,SorP!$B$1:$B$6230,0)),"",INDIRECT("'SorP'!$A$"&amp;MATCH($J49,SorP!$B$1:$B$6230,0))))</f>
        <v>CN-HN</v>
      </c>
      <c r="U49" s="241"/>
      <c r="V49" s="275">
        <f>IF(C49="",NA(),MATCH($B49&amp;$C49,'Smelter Look-up'!$J:$J,0))</f>
        <v>296</v>
      </c>
      <c r="W49" s="276"/>
      <c r="X49" s="276">
        <f t="shared" si="7"/>
        <v>0</v>
      </c>
      <c r="Y49" s="276"/>
      <c r="Z49" s="276"/>
      <c r="AB49" s="278" t="str">
        <f t="shared" si="8"/>
        <v>TantalumChangsha South Tantalum Niobium Co., Ltd.</v>
      </c>
    </row>
    <row r="50" spans="1:28" s="277" customFormat="1" ht="108">
      <c r="A50" s="216"/>
      <c r="B50" s="217" t="s">
        <v>1156</v>
      </c>
      <c r="C50" s="221" t="s">
        <v>1428</v>
      </c>
      <c r="D50" s="283" t="s">
        <v>1428</v>
      </c>
      <c r="E50" s="217" t="s">
        <v>1123</v>
      </c>
      <c r="F50" s="217" t="s">
        <v>1429</v>
      </c>
      <c r="G50" s="217" t="s">
        <v>15513</v>
      </c>
      <c r="H50" s="218">
        <f ca="1">IF(ISERROR($V50),"",OFFSET('Smelter Look-up'!$G$4,$V50-4,0))</f>
        <v>0</v>
      </c>
      <c r="I50" s="219" t="str">
        <f ca="1">IF(ISERROR($V50),"",OFFSET('Smelter Look-up'!$H$4,$V50-4,0))</f>
        <v>Chenzhou</v>
      </c>
      <c r="J50" s="219" t="str">
        <f ca="1">IF(ISERROR($V50),"",OFFSET('Smelter Look-up'!$I$4,$V50-4,0))</f>
        <v>Hunan Sheng</v>
      </c>
      <c r="K50" s="273"/>
      <c r="L50" s="273"/>
      <c r="M50" s="273"/>
      <c r="N50" s="273"/>
      <c r="O50" s="273"/>
      <c r="P50" s="220"/>
      <c r="Q50" s="274"/>
      <c r="R50" s="217" t="str">
        <f ca="1">IF(ISERROR($V50),"",OFFSET('Smelter Look-up'!$C$4,$V50-4,0)&amp;"")</f>
        <v>Chenzhou Diamond Tungsten Products Co., Ltd.</v>
      </c>
      <c r="S50" s="225" t="str">
        <f t="shared" ca="1" si="6"/>
        <v>CN</v>
      </c>
      <c r="T50" s="225" t="str">
        <f ca="1">IF(B50="","",IF(ISERROR(MATCH($J50,SorP!$B$1:$B$6230,0)),"",INDIRECT("'SorP'!$A$"&amp;MATCH($J50,SorP!$B$1:$B$6230,0))))</f>
        <v>CN-HN</v>
      </c>
      <c r="U50" s="241"/>
      <c r="V50" s="275">
        <f>IF(C50="",NA(),MATCH($B50&amp;$C50,'Smelter Look-up'!$J:$J,0))</f>
        <v>497</v>
      </c>
      <c r="W50" s="276"/>
      <c r="X50" s="276">
        <f t="shared" si="7"/>
        <v>0</v>
      </c>
      <c r="Y50" s="276"/>
      <c r="Z50" s="276"/>
      <c r="AB50" s="278" t="str">
        <f t="shared" si="8"/>
        <v>TungstenChenzhou Diamond Tungsten Products Co., Ltd.</v>
      </c>
    </row>
    <row r="51" spans="1:28" s="277" customFormat="1" ht="108">
      <c r="A51" s="216"/>
      <c r="B51" s="217" t="s">
        <v>1154</v>
      </c>
      <c r="C51" s="221" t="s">
        <v>2463</v>
      </c>
      <c r="D51" s="283" t="s">
        <v>2463</v>
      </c>
      <c r="E51" s="217" t="s">
        <v>1123</v>
      </c>
      <c r="F51" s="217" t="s">
        <v>2403</v>
      </c>
      <c r="G51" s="217" t="s">
        <v>15513</v>
      </c>
      <c r="H51" s="218">
        <f ca="1">IF(ISERROR($V51),"",OFFSET('Smelter Look-up'!$G$4,$V51-4,0))</f>
        <v>0</v>
      </c>
      <c r="I51" s="219" t="str">
        <f ca="1">IF(ISERROR($V51),"",OFFSET('Smelter Look-up'!$H$4,$V51-4,0))</f>
        <v>Chenzhou</v>
      </c>
      <c r="J51" s="219" t="str">
        <f ca="1">IF(ISERROR($V51),"",OFFSET('Smelter Look-up'!$I$4,$V51-4,0))</f>
        <v>Hunan Sheng</v>
      </c>
      <c r="K51" s="273"/>
      <c r="L51" s="273"/>
      <c r="M51" s="273"/>
      <c r="N51" s="273"/>
      <c r="O51" s="273"/>
      <c r="P51" s="220"/>
      <c r="Q51" s="274"/>
      <c r="R51" s="217" t="str">
        <f ca="1">IF(ISERROR($V51),"",OFFSET('Smelter Look-up'!$C$4,$V51-4,0)&amp;"")</f>
        <v>Chenzhou Yunxiang Mining and Metallurgy Co., Ltd.</v>
      </c>
      <c r="S51" s="225" t="str">
        <f t="shared" ca="1" si="6"/>
        <v>CN</v>
      </c>
      <c r="T51" s="225" t="str">
        <f ca="1">IF(B51="","",IF(ISERROR(MATCH($J51,SorP!$B$1:$B$6230,0)),"",INDIRECT("'SorP'!$A$"&amp;MATCH($J51,SorP!$B$1:$B$6230,0))))</f>
        <v>CN-HN</v>
      </c>
      <c r="U51" s="241"/>
      <c r="V51" s="275">
        <f>IF(C51="",NA(),MATCH($B51&amp;$C51,'Smelter Look-up'!$J:$J,0))</f>
        <v>364</v>
      </c>
      <c r="W51" s="276"/>
      <c r="X51" s="276">
        <f t="shared" si="7"/>
        <v>0</v>
      </c>
      <c r="Y51" s="276"/>
      <c r="Z51" s="276"/>
      <c r="AB51" s="278" t="str">
        <f t="shared" si="8"/>
        <v>TinChenzhou Yunxiang Mining and Metallurgy Co., Ltd.</v>
      </c>
    </row>
    <row r="52" spans="1:28" s="277" customFormat="1" ht="81">
      <c r="A52" s="216"/>
      <c r="B52" s="217" t="s">
        <v>1154</v>
      </c>
      <c r="C52" s="221" t="s">
        <v>13264</v>
      </c>
      <c r="D52" s="283" t="s">
        <v>13264</v>
      </c>
      <c r="E52" s="217" t="s">
        <v>1123</v>
      </c>
      <c r="F52" s="217" t="s">
        <v>13265</v>
      </c>
      <c r="G52" s="217" t="s">
        <v>15513</v>
      </c>
      <c r="H52" s="218">
        <f ca="1">IF(ISERROR($V52),"",OFFSET('Smelter Look-up'!$G$4,$V52-4,0))</f>
        <v>0</v>
      </c>
      <c r="I52" s="219" t="str">
        <f ca="1">IF(ISERROR($V52),"",OFFSET('Smelter Look-up'!$H$4,$V52-4,0))</f>
        <v>Chifeng</v>
      </c>
      <c r="J52" s="219" t="str">
        <f ca="1">IF(ISERROR($V52),"",OFFSET('Smelter Look-up'!$I$4,$V52-4,0))</f>
        <v>Nei Mongol Zizhiqu</v>
      </c>
      <c r="K52" s="273"/>
      <c r="L52" s="273"/>
      <c r="M52" s="273"/>
      <c r="N52" s="273"/>
      <c r="O52" s="273"/>
      <c r="P52" s="220"/>
      <c r="Q52" s="274"/>
      <c r="R52" s="217" t="str">
        <f ca="1">IF(ISERROR($V52),"",OFFSET('Smelter Look-up'!$C$4,$V52-4,0)&amp;"")</f>
        <v>Chifeng Dajingzi Tin Industry Co., Ltd.</v>
      </c>
      <c r="S52" s="225" t="str">
        <f t="shared" ca="1" si="6"/>
        <v>CN</v>
      </c>
      <c r="T52" s="225" t="str">
        <f ca="1">IF(B52="","",IF(ISERROR(MATCH($J52,SorP!$B$1:$B$6230,0)),"",INDIRECT("'SorP'!$A$"&amp;MATCH($J52,SorP!$B$1:$B$6230,0))))</f>
        <v>CN-NM</v>
      </c>
      <c r="U52" s="241"/>
      <c r="V52" s="275">
        <f>IF(C52="",NA(),MATCH($B52&amp;$C52,'Smelter Look-up'!$J:$J,0))</f>
        <v>365</v>
      </c>
      <c r="W52" s="276"/>
      <c r="X52" s="276">
        <f t="shared" si="7"/>
        <v>0</v>
      </c>
      <c r="Y52" s="276"/>
      <c r="Z52" s="276"/>
      <c r="AB52" s="278" t="str">
        <f t="shared" si="8"/>
        <v>TinChifeng Dajingzi Tin Industry Co., Ltd.</v>
      </c>
    </row>
    <row r="53" spans="1:28" s="277" customFormat="1" ht="40.5">
      <c r="A53" s="216"/>
      <c r="B53" s="217" t="s">
        <v>1153</v>
      </c>
      <c r="C53" s="221" t="s">
        <v>55</v>
      </c>
      <c r="D53" s="283" t="s">
        <v>55</v>
      </c>
      <c r="E53" s="217" t="s">
        <v>1130</v>
      </c>
      <c r="F53" s="217" t="s">
        <v>682</v>
      </c>
      <c r="G53" s="217" t="s">
        <v>15513</v>
      </c>
      <c r="H53" s="218">
        <f ca="1">IF(ISERROR($V53),"",OFFSET('Smelter Look-up'!$G$4,$V53-4,0))</f>
        <v>0</v>
      </c>
      <c r="I53" s="219" t="str">
        <f ca="1">IF(ISERROR($V53),"",OFFSET('Smelter Look-up'!$H$4,$V53-4,0))</f>
        <v>Arezzo</v>
      </c>
      <c r="J53" s="219" t="str">
        <f ca="1">IF(ISERROR($V53),"",OFFSET('Smelter Look-up'!$I$4,$V53-4,0))</f>
        <v>Toscana</v>
      </c>
      <c r="K53" s="273"/>
      <c r="L53" s="273"/>
      <c r="M53" s="273"/>
      <c r="N53" s="273"/>
      <c r="O53" s="273"/>
      <c r="P53" s="220"/>
      <c r="Q53" s="274"/>
      <c r="R53" s="217" t="str">
        <f ca="1">IF(ISERROR($V53),"",OFFSET('Smelter Look-up'!$C$4,$V53-4,0)&amp;"")</f>
        <v>Chimet S.p.A.</v>
      </c>
      <c r="S53" s="225" t="str">
        <f t="shared" ca="1" si="6"/>
        <v>IT</v>
      </c>
      <c r="T53" s="225" t="str">
        <f ca="1">IF(B53="","",IF(ISERROR(MATCH($J53,SorP!$B$1:$B$6230,0)),"",INDIRECT("'SorP'!$A$"&amp;MATCH($J53,SorP!$B$1:$B$6230,0))))</f>
        <v>IT-52</v>
      </c>
      <c r="U53" s="241"/>
      <c r="V53" s="275">
        <f>IF(C53="",NA(),MATCH($B53&amp;$C53,'Smelter Look-up'!$J:$J,0))</f>
        <v>51</v>
      </c>
      <c r="W53" s="276"/>
      <c r="X53" s="276">
        <f t="shared" si="7"/>
        <v>0</v>
      </c>
      <c r="Y53" s="276"/>
      <c r="Z53" s="276"/>
      <c r="AB53" s="278" t="str">
        <f t="shared" si="8"/>
        <v>GoldChimet S.p.A.</v>
      </c>
    </row>
    <row r="54" spans="1:28" s="277" customFormat="1" ht="54">
      <c r="A54" s="216"/>
      <c r="B54" s="217" t="s">
        <v>1156</v>
      </c>
      <c r="C54" s="221" t="s">
        <v>1898</v>
      </c>
      <c r="D54" s="283" t="s">
        <v>15536</v>
      </c>
      <c r="E54" s="217" t="s">
        <v>1123</v>
      </c>
      <c r="F54" s="217" t="s">
        <v>14166</v>
      </c>
      <c r="G54" s="217" t="s">
        <v>13577</v>
      </c>
      <c r="H54" s="218">
        <f ca="1">IF(ISERROR($V54),"",OFFSET('Smelter Look-up'!$G$4,$V54-4,0))</f>
        <v>0</v>
      </c>
      <c r="I54" s="219">
        <f ca="1">IF(ISERROR($V54),"",OFFSET('Smelter Look-up'!$H$4,$V54-4,0))</f>
        <v>0</v>
      </c>
      <c r="J54" s="219">
        <f ca="1">IF(ISERROR($V54),"",OFFSET('Smelter Look-up'!$I$4,$V54-4,0))</f>
        <v>0</v>
      </c>
      <c r="K54" s="273"/>
      <c r="L54" s="273"/>
      <c r="M54" s="273"/>
      <c r="N54" s="273"/>
      <c r="O54" s="273"/>
      <c r="P54" s="220"/>
      <c r="Q54" s="274"/>
      <c r="R54" s="217" t="str">
        <f ca="1">IF(ISERROR($V54),"",OFFSET('Smelter Look-up'!$C$4,$V54-4,0)&amp;"")</f>
        <v/>
      </c>
      <c r="S54" s="225" t="str">
        <f t="shared" ca="1" si="6"/>
        <v>CN</v>
      </c>
      <c r="T54" s="225" t="str">
        <f ca="1">IF(B54="","",IF(ISERROR(MATCH($J54,SorP!$B$1:$B$6230,0)),"",INDIRECT("'SorP'!$A$"&amp;MATCH($J54,SorP!$B$1:$B$6230,0))))</f>
        <v/>
      </c>
      <c r="U54" s="241"/>
      <c r="V54" s="275">
        <f>IF(C54="",NA(),MATCH($B54&amp;$C54,'Smelter Look-up'!$J:$J,0))</f>
        <v>590</v>
      </c>
      <c r="W54" s="276"/>
      <c r="X54" s="276">
        <f t="shared" si="7"/>
        <v>0</v>
      </c>
      <c r="Y54" s="276"/>
      <c r="Z54" s="276"/>
      <c r="AB54" s="278" t="str">
        <f t="shared" si="8"/>
        <v>TungstenSmelter not listed</v>
      </c>
    </row>
    <row r="55" spans="1:28" s="277" customFormat="1" ht="54">
      <c r="A55" s="216"/>
      <c r="B55" s="217" t="s">
        <v>1154</v>
      </c>
      <c r="C55" s="221" t="s">
        <v>1350</v>
      </c>
      <c r="D55" s="283" t="s">
        <v>1350</v>
      </c>
      <c r="E55" s="217" t="s">
        <v>1123</v>
      </c>
      <c r="F55" s="217" t="s">
        <v>791</v>
      </c>
      <c r="G55" s="217" t="s">
        <v>15513</v>
      </c>
      <c r="H55" s="218">
        <f ca="1">IF(ISERROR($V55),"",OFFSET('Smelter Look-up'!$G$4,$V55-4,0))</f>
        <v>0</v>
      </c>
      <c r="I55" s="219" t="str">
        <f ca="1">IF(ISERROR($V55),"",OFFSET('Smelter Look-up'!$H$4,$V55-4,0))</f>
        <v>Laibin</v>
      </c>
      <c r="J55" s="219" t="str">
        <f ca="1">IF(ISERROR($V55),"",OFFSET('Smelter Look-up'!$I$4,$V55-4,0))</f>
        <v>Guangxi Zhuangzu Zizhiqu</v>
      </c>
      <c r="K55" s="273"/>
      <c r="L55" s="273"/>
      <c r="M55" s="273"/>
      <c r="N55" s="273"/>
      <c r="O55" s="273"/>
      <c r="P55" s="220"/>
      <c r="Q55" s="274"/>
      <c r="R55" s="217" t="str">
        <f ca="1">IF(ISERROR($V55),"",OFFSET('Smelter Look-up'!$C$4,$V55-4,0)&amp;"")</f>
        <v>China Tin Group Co., Ltd.</v>
      </c>
      <c r="S55" s="225" t="str">
        <f t="shared" ca="1" si="6"/>
        <v>CN</v>
      </c>
      <c r="T55" s="225" t="str">
        <f ca="1">IF(B55="","",IF(ISERROR(MATCH($J55,SorP!$B$1:$B$6230,0)),"",INDIRECT("'SorP'!$A$"&amp;MATCH($J55,SorP!$B$1:$B$6230,0))))</f>
        <v>CN-GX</v>
      </c>
      <c r="U55" s="241"/>
      <c r="V55" s="275">
        <f>IF(C55="",NA(),MATCH($B55&amp;$C55,'Smelter Look-up'!$J:$J,0))</f>
        <v>367</v>
      </c>
      <c r="W55" s="276"/>
      <c r="X55" s="276">
        <f t="shared" si="7"/>
        <v>0</v>
      </c>
      <c r="Y55" s="276"/>
      <c r="Z55" s="276"/>
      <c r="AB55" s="278" t="str">
        <f t="shared" si="8"/>
        <v>TinChina Tin Group Co., Ltd.</v>
      </c>
    </row>
    <row r="56" spans="1:28" s="277" customFormat="1" ht="40.5">
      <c r="A56" s="216"/>
      <c r="B56" s="217" t="s">
        <v>1154</v>
      </c>
      <c r="C56" s="221" t="s">
        <v>1898</v>
      </c>
      <c r="D56" s="283" t="s">
        <v>15537</v>
      </c>
      <c r="E56" s="217" t="s">
        <v>1131</v>
      </c>
      <c r="F56" s="217" t="s">
        <v>14250</v>
      </c>
      <c r="G56" s="217" t="s">
        <v>14250</v>
      </c>
      <c r="H56" s="218">
        <f ca="1">IF(ISERROR($V56),"",OFFSET('Smelter Look-up'!$G$4,$V56-4,0))</f>
        <v>0</v>
      </c>
      <c r="I56" s="219">
        <f ca="1">IF(ISERROR($V56),"",OFFSET('Smelter Look-up'!$H$4,$V56-4,0))</f>
        <v>0</v>
      </c>
      <c r="J56" s="219">
        <f ca="1">IF(ISERROR($V56),"",OFFSET('Smelter Look-up'!$I$4,$V56-4,0))</f>
        <v>0</v>
      </c>
      <c r="K56" s="273"/>
      <c r="L56" s="273"/>
      <c r="M56" s="273"/>
      <c r="N56" s="273"/>
      <c r="O56" s="273"/>
      <c r="P56" s="220"/>
      <c r="Q56" s="274"/>
      <c r="R56" s="217" t="str">
        <f ca="1">IF(ISERROR($V56),"",OFFSET('Smelter Look-up'!$C$4,$V56-4,0)&amp;"")</f>
        <v/>
      </c>
      <c r="S56" s="225" t="str">
        <f t="shared" ca="1" si="6"/>
        <v>JP</v>
      </c>
      <c r="T56" s="225" t="str">
        <f ca="1">IF(B56="","",IF(ISERROR(MATCH($J56,SorP!$B$1:$B$6230,0)),"",INDIRECT("'SorP'!$A$"&amp;MATCH($J56,SorP!$B$1:$B$6230,0))))</f>
        <v/>
      </c>
      <c r="U56" s="241"/>
      <c r="V56" s="275">
        <f>IF(C56="",NA(),MATCH($B56&amp;$C56,'Smelter Look-up'!$J:$J,0))</f>
        <v>484</v>
      </c>
      <c r="W56" s="276"/>
      <c r="X56" s="276">
        <f t="shared" si="7"/>
        <v>0</v>
      </c>
      <c r="Y56" s="276"/>
      <c r="Z56" s="276"/>
      <c r="AB56" s="278" t="str">
        <f t="shared" si="8"/>
        <v>TinSmelter not listed</v>
      </c>
    </row>
    <row r="57" spans="1:28" s="277" customFormat="1" ht="108">
      <c r="A57" s="216"/>
      <c r="B57" s="217" t="s">
        <v>1156</v>
      </c>
      <c r="C57" s="221" t="s">
        <v>1402</v>
      </c>
      <c r="D57" s="283" t="s">
        <v>1402</v>
      </c>
      <c r="E57" s="217" t="s">
        <v>1123</v>
      </c>
      <c r="F57" s="217" t="s">
        <v>813</v>
      </c>
      <c r="G57" s="217" t="s">
        <v>15513</v>
      </c>
      <c r="H57" s="218">
        <f ca="1">IF(ISERROR($V57),"",OFFSET('Smelter Look-up'!$G$4,$V57-4,0))</f>
        <v>0</v>
      </c>
      <c r="I57" s="219" t="str">
        <f ca="1">IF(ISERROR($V57),"",OFFSET('Smelter Look-up'!$H$4,$V57-4,0))</f>
        <v>Ganzhou</v>
      </c>
      <c r="J57" s="219" t="str">
        <f ca="1">IF(ISERROR($V57),"",OFFSET('Smelter Look-up'!$I$4,$V57-4,0))</f>
        <v>Jiangxi Sheng</v>
      </c>
      <c r="K57" s="273"/>
      <c r="L57" s="273"/>
      <c r="M57" s="273"/>
      <c r="N57" s="273"/>
      <c r="O57" s="273"/>
      <c r="P57" s="220"/>
      <c r="Q57" s="274"/>
      <c r="R57" s="217" t="str">
        <f ca="1">IF(ISERROR($V57),"",OFFSET('Smelter Look-up'!$C$4,$V57-4,0)&amp;"")</f>
        <v>Chongyi Zhangyuan Tungsten Co., Ltd.</v>
      </c>
      <c r="S57" s="225" t="str">
        <f t="shared" ca="1" si="6"/>
        <v>CN</v>
      </c>
      <c r="T57" s="225" t="str">
        <f ca="1">IF(B57="","",IF(ISERROR(MATCH($J57,SorP!$B$1:$B$6230,0)),"",INDIRECT("'SorP'!$A$"&amp;MATCH($J57,SorP!$B$1:$B$6230,0))))</f>
        <v>CN-JX</v>
      </c>
      <c r="U57" s="241"/>
      <c r="V57" s="275">
        <f>IF(C57="",NA(),MATCH($B57&amp;$C57,'Smelter Look-up'!$J:$J,0))</f>
        <v>501</v>
      </c>
      <c r="W57" s="276"/>
      <c r="X57" s="276">
        <f t="shared" si="7"/>
        <v>0</v>
      </c>
      <c r="Y57" s="276"/>
      <c r="Z57" s="276"/>
      <c r="AB57" s="278" t="str">
        <f t="shared" si="8"/>
        <v>TungstenChongyi Zhangyuan Tungsten Co., Ltd.</v>
      </c>
    </row>
    <row r="58" spans="1:28" s="277" customFormat="1" ht="40.5">
      <c r="A58" s="216"/>
      <c r="B58" s="217" t="s">
        <v>1153</v>
      </c>
      <c r="C58" s="221" t="s">
        <v>550</v>
      </c>
      <c r="D58" s="283" t="s">
        <v>550</v>
      </c>
      <c r="E58" s="217" t="s">
        <v>1131</v>
      </c>
      <c r="F58" s="217" t="s">
        <v>683</v>
      </c>
      <c r="G58" s="217" t="s">
        <v>15513</v>
      </c>
      <c r="H58" s="218">
        <f ca="1">IF(ISERROR($V58),"",OFFSET('Smelter Look-up'!$G$4,$V58-4,0))</f>
        <v>0</v>
      </c>
      <c r="I58" s="219" t="str">
        <f ca="1">IF(ISERROR($V58),"",OFFSET('Smelter Look-up'!$H$4,$V58-4,0))</f>
        <v>Chiyoda</v>
      </c>
      <c r="J58" s="219" t="str">
        <f ca="1">IF(ISERROR($V58),"",OFFSET('Smelter Look-up'!$I$4,$V58-4,0))</f>
        <v>Tokyo</v>
      </c>
      <c r="K58" s="273"/>
      <c r="L58" s="273"/>
      <c r="M58" s="273"/>
      <c r="N58" s="273"/>
      <c r="O58" s="273"/>
      <c r="P58" s="220"/>
      <c r="Q58" s="274"/>
      <c r="R58" s="217" t="str">
        <f ca="1">IF(ISERROR($V58),"",OFFSET('Smelter Look-up'!$C$4,$V58-4,0)&amp;"")</f>
        <v>Chugai Mining</v>
      </c>
      <c r="S58" s="225" t="str">
        <f t="shared" ca="1" si="6"/>
        <v>JP</v>
      </c>
      <c r="T58" s="225" t="str">
        <f ca="1">IF(B58="","",IF(ISERROR(MATCH($J58,SorP!$B$1:$B$6230,0)),"",INDIRECT("'SorP'!$A$"&amp;MATCH($J58,SorP!$B$1:$B$6230,0))))</f>
        <v>JP-13</v>
      </c>
      <c r="U58" s="241"/>
      <c r="V58" s="275">
        <f>IF(C58="",NA(),MATCH($B58&amp;$C58,'Smelter Look-up'!$J:$J,0))</f>
        <v>54</v>
      </c>
      <c r="W58" s="276"/>
      <c r="X58" s="276">
        <f t="shared" si="7"/>
        <v>0</v>
      </c>
      <c r="Y58" s="276"/>
      <c r="Z58" s="276"/>
      <c r="AB58" s="278" t="str">
        <f t="shared" si="8"/>
        <v>GoldChugai Mining</v>
      </c>
    </row>
    <row r="59" spans="1:28" s="277" customFormat="1" ht="40.5">
      <c r="A59" s="216"/>
      <c r="B59" s="217" t="s">
        <v>1154</v>
      </c>
      <c r="C59" s="221" t="s">
        <v>1898</v>
      </c>
      <c r="D59" s="283" t="s">
        <v>2247</v>
      </c>
      <c r="E59" s="217" t="s">
        <v>1123</v>
      </c>
      <c r="F59" s="217" t="s">
        <v>15538</v>
      </c>
      <c r="G59" s="217" t="s">
        <v>15513</v>
      </c>
      <c r="H59" s="218">
        <f ca="1">IF(ISERROR($V59),"",OFFSET('Smelter Look-up'!$G$4,$V59-4,0))</f>
        <v>0</v>
      </c>
      <c r="I59" s="219">
        <f ca="1">IF(ISERROR($V59),"",OFFSET('Smelter Look-up'!$H$4,$V59-4,0))</f>
        <v>0</v>
      </c>
      <c r="J59" s="219">
        <f ca="1">IF(ISERROR($V59),"",OFFSET('Smelter Look-up'!$I$4,$V59-4,0))</f>
        <v>0</v>
      </c>
      <c r="K59" s="273"/>
      <c r="L59" s="273"/>
      <c r="M59" s="273"/>
      <c r="N59" s="273"/>
      <c r="O59" s="273"/>
      <c r="P59" s="220"/>
      <c r="Q59" s="274"/>
      <c r="R59" s="217" t="str">
        <f ca="1">IF(ISERROR($V59),"",OFFSET('Smelter Look-up'!$C$4,$V59-4,0)&amp;"")</f>
        <v/>
      </c>
      <c r="S59" s="225" t="str">
        <f t="shared" ca="1" si="6"/>
        <v>CN</v>
      </c>
      <c r="T59" s="225" t="str">
        <f ca="1">IF(B59="","",IF(ISERROR(MATCH($J59,SorP!$B$1:$B$6230,0)),"",INDIRECT("'SorP'!$A$"&amp;MATCH($J59,SorP!$B$1:$B$6230,0))))</f>
        <v/>
      </c>
      <c r="U59" s="241"/>
      <c r="V59" s="275">
        <f>IF(C59="",NA(),MATCH($B59&amp;$C59,'Smelter Look-up'!$J:$J,0))</f>
        <v>484</v>
      </c>
      <c r="W59" s="276"/>
      <c r="X59" s="276">
        <f t="shared" si="7"/>
        <v>0</v>
      </c>
      <c r="Y59" s="276"/>
      <c r="Z59" s="276"/>
      <c r="AB59" s="278" t="str">
        <f t="shared" si="8"/>
        <v>TinSmelter not listed</v>
      </c>
    </row>
    <row r="60" spans="1:28" s="277" customFormat="1" ht="67.5">
      <c r="A60" s="216"/>
      <c r="B60" s="217" t="s">
        <v>1156</v>
      </c>
      <c r="C60" s="221" t="s">
        <v>2247</v>
      </c>
      <c r="D60" s="283" t="s">
        <v>2247</v>
      </c>
      <c r="E60" s="217" t="s">
        <v>1123</v>
      </c>
      <c r="F60" s="217" t="s">
        <v>14250</v>
      </c>
      <c r="G60" s="217" t="s">
        <v>14250</v>
      </c>
      <c r="H60" s="218">
        <f ca="1">IF(ISERROR($V60),"",OFFSET('Smelter Look-up'!$G$4,$V60-4,0))</f>
        <v>0</v>
      </c>
      <c r="I60" s="219" t="str">
        <f ca="1">IF(ISERROR($V60),"",OFFSET('Smelter Look-up'!$H$4,$V60-4,0))</f>
        <v>Hezhou</v>
      </c>
      <c r="J60" s="219" t="str">
        <f ca="1">IF(ISERROR($V60),"",OFFSET('Smelter Look-up'!$I$4,$V60-4,0))</f>
        <v>Guangxi Zhuangzu Zizhiqu</v>
      </c>
      <c r="K60" s="273"/>
      <c r="L60" s="273"/>
      <c r="M60" s="273"/>
      <c r="N60" s="273"/>
      <c r="O60" s="273"/>
      <c r="P60" s="220"/>
      <c r="Q60" s="274"/>
      <c r="R60" s="217" t="str">
        <f ca="1">IF(ISERROR($V60),"",OFFSET('Smelter Look-up'!$C$4,$V60-4,0)&amp;"")</f>
        <v>CNMC (Guangxi) PGMA Co., Ltd.</v>
      </c>
      <c r="S60" s="225" t="str">
        <f t="shared" ca="1" si="6"/>
        <v>CN</v>
      </c>
      <c r="T60" s="225" t="str">
        <f ca="1">IF(B60="","",IF(ISERROR(MATCH($J60,SorP!$B$1:$B$6230,0)),"",INDIRECT("'SorP'!$A$"&amp;MATCH($J60,SorP!$B$1:$B$6230,0))))</f>
        <v>CN-GX</v>
      </c>
      <c r="U60" s="241"/>
      <c r="V60" s="275">
        <f>IF(C60="",NA(),MATCH($B60&amp;$C60,'Smelter Look-up'!$J:$J,0))</f>
        <v>502</v>
      </c>
      <c r="W60" s="276"/>
      <c r="X60" s="276">
        <f t="shared" si="7"/>
        <v>0</v>
      </c>
      <c r="Y60" s="276"/>
      <c r="Z60" s="276"/>
      <c r="AB60" s="278" t="str">
        <f t="shared" si="8"/>
        <v>TungstenCNMC (Guangxi) PGMA Co., Ltd.</v>
      </c>
    </row>
    <row r="61" spans="1:28" s="277" customFormat="1" ht="40.5">
      <c r="A61" s="216"/>
      <c r="B61" s="217" t="s">
        <v>1154</v>
      </c>
      <c r="C61" s="221" t="s">
        <v>1898</v>
      </c>
      <c r="D61" s="283" t="s">
        <v>15539</v>
      </c>
      <c r="E61" s="217" t="s">
        <v>1119</v>
      </c>
      <c r="F61" s="217" t="s">
        <v>15540</v>
      </c>
      <c r="G61" s="217" t="s">
        <v>15513</v>
      </c>
      <c r="H61" s="218">
        <f ca="1">IF(ISERROR($V61),"",OFFSET('Smelter Look-up'!$G$4,$V61-4,0))</f>
        <v>0</v>
      </c>
      <c r="I61" s="219">
        <f ca="1">IF(ISERROR($V61),"",OFFSET('Smelter Look-up'!$H$4,$V61-4,0))</f>
        <v>0</v>
      </c>
      <c r="J61" s="219">
        <f ca="1">IF(ISERROR($V61),"",OFFSET('Smelter Look-up'!$I$4,$V61-4,0))</f>
        <v>0</v>
      </c>
      <c r="K61" s="273"/>
      <c r="L61" s="273"/>
      <c r="M61" s="273"/>
      <c r="N61" s="273"/>
      <c r="O61" s="273"/>
      <c r="P61" s="220"/>
      <c r="Q61" s="274"/>
      <c r="R61" s="217" t="str">
        <f ca="1">IF(ISERROR($V61),"",OFFSET('Smelter Look-up'!$C$4,$V61-4,0)&amp;"")</f>
        <v/>
      </c>
      <c r="S61" s="225" t="str">
        <f t="shared" ca="1" si="6"/>
        <v>BR</v>
      </c>
      <c r="T61" s="225" t="str">
        <f ca="1">IF(B61="","",IF(ISERROR(MATCH($J61,SorP!$B$1:$B$6230,0)),"",INDIRECT("'SorP'!$A$"&amp;MATCH($J61,SorP!$B$1:$B$6230,0))))</f>
        <v/>
      </c>
      <c r="U61" s="241"/>
      <c r="V61" s="275">
        <f>IF(C61="",NA(),MATCH($B61&amp;$C61,'Smelter Look-up'!$J:$J,0))</f>
        <v>484</v>
      </c>
      <c r="W61" s="276"/>
      <c r="X61" s="276">
        <f t="shared" si="7"/>
        <v>0</v>
      </c>
      <c r="Y61" s="276"/>
      <c r="Z61" s="276"/>
      <c r="AB61" s="278" t="str">
        <f t="shared" si="8"/>
        <v>TinSmelter not listed</v>
      </c>
    </row>
    <row r="62" spans="1:28" s="277" customFormat="1" ht="54">
      <c r="A62" s="216"/>
      <c r="B62" s="217" t="s">
        <v>1155</v>
      </c>
      <c r="C62" s="221" t="s">
        <v>14145</v>
      </c>
      <c r="D62" s="283" t="s">
        <v>14145</v>
      </c>
      <c r="E62" s="217" t="s">
        <v>2576</v>
      </c>
      <c r="F62" s="217" t="s">
        <v>14146</v>
      </c>
      <c r="G62" s="217" t="s">
        <v>13577</v>
      </c>
      <c r="H62" s="218" t="s">
        <v>14250</v>
      </c>
      <c r="I62" s="219" t="s">
        <v>14182</v>
      </c>
      <c r="J62" s="219" t="s">
        <v>1666</v>
      </c>
      <c r="K62" s="273"/>
      <c r="L62" s="273"/>
      <c r="M62" s="273"/>
      <c r="N62" s="273"/>
      <c r="O62" s="273"/>
      <c r="P62" s="220"/>
      <c r="Q62" s="274"/>
      <c r="R62" s="217" t="str">
        <f ca="1">IF(ISERROR($V62),"",OFFSET('Smelter Look-up'!$C$4,$V62-4,0)&amp;"")</f>
        <v>CP Metals Inc.</v>
      </c>
      <c r="S62" s="225" t="str">
        <f t="shared" ca="1" si="6"/>
        <v>US</v>
      </c>
      <c r="T62" s="225" t="str">
        <f ca="1">IF(B62="","",IF(ISERROR(MATCH($J62,SorP!$B$1:$B$6230,0)),"",INDIRECT("'SorP'!$A$"&amp;MATCH($J62,SorP!$B$1:$B$6230,0))))</f>
        <v>US-OH</v>
      </c>
      <c r="U62" s="241"/>
      <c r="V62" s="275">
        <f>IF(C62="",NA(),MATCH($B62&amp;$C62,'Smelter Look-up'!$J:$J,0))</f>
        <v>298</v>
      </c>
      <c r="W62" s="276"/>
      <c r="X62" s="276">
        <f t="shared" si="7"/>
        <v>0</v>
      </c>
      <c r="Y62" s="276"/>
      <c r="Z62" s="276"/>
      <c r="AB62" s="278" t="str">
        <f t="shared" si="8"/>
        <v>TantalumCP Metals Inc.</v>
      </c>
    </row>
    <row r="63" spans="1:28" s="277" customFormat="1" ht="54">
      <c r="A63" s="216"/>
      <c r="B63" s="217" t="s">
        <v>1156</v>
      </c>
      <c r="C63" s="221" t="s">
        <v>14145</v>
      </c>
      <c r="D63" s="283" t="s">
        <v>14145</v>
      </c>
      <c r="E63" s="217" t="s">
        <v>2576</v>
      </c>
      <c r="F63" s="217" t="s">
        <v>14244</v>
      </c>
      <c r="G63" s="217" t="s">
        <v>13577</v>
      </c>
      <c r="H63" s="218" t="s">
        <v>14250</v>
      </c>
      <c r="I63" s="219" t="s">
        <v>14182</v>
      </c>
      <c r="J63" s="219" t="s">
        <v>1666</v>
      </c>
      <c r="K63" s="273"/>
      <c r="L63" s="273"/>
      <c r="M63" s="273"/>
      <c r="N63" s="273"/>
      <c r="O63" s="273"/>
      <c r="P63" s="220"/>
      <c r="Q63" s="274"/>
      <c r="R63" s="217" t="str">
        <f ca="1">IF(ISERROR($V63),"",OFFSET('Smelter Look-up'!$C$4,$V63-4,0)&amp;"")</f>
        <v>CP Metals Inc.</v>
      </c>
      <c r="S63" s="225" t="str">
        <f t="shared" ca="1" si="6"/>
        <v>US</v>
      </c>
      <c r="T63" s="225" t="str">
        <f ca="1">IF(B63="","",IF(ISERROR(MATCH($J63,SorP!$B$1:$B$6230,0)),"",INDIRECT("'SorP'!$A$"&amp;MATCH($J63,SorP!$B$1:$B$6230,0))))</f>
        <v>US-OH</v>
      </c>
      <c r="U63" s="241"/>
      <c r="V63" s="275">
        <f>IF(C63="",NA(),MATCH($B63&amp;$C63,'Smelter Look-up'!$J:$J,0))</f>
        <v>503</v>
      </c>
      <c r="W63" s="276"/>
      <c r="X63" s="276">
        <f t="shared" si="7"/>
        <v>0</v>
      </c>
      <c r="Y63" s="276"/>
      <c r="Z63" s="276"/>
      <c r="AB63" s="278" t="str">
        <f t="shared" si="8"/>
        <v>TungstenCP Metals Inc.</v>
      </c>
    </row>
    <row r="64" spans="1:28" s="277" customFormat="1" ht="40.5">
      <c r="A64" s="216"/>
      <c r="B64" s="217" t="s">
        <v>1154</v>
      </c>
      <c r="C64" s="221" t="s">
        <v>1898</v>
      </c>
      <c r="D64" s="283" t="s">
        <v>15541</v>
      </c>
      <c r="E64" s="217" t="s">
        <v>1119</v>
      </c>
      <c r="F64" s="217" t="s">
        <v>15542</v>
      </c>
      <c r="G64" s="217" t="s">
        <v>13577</v>
      </c>
      <c r="H64" s="218" t="s">
        <v>15543</v>
      </c>
      <c r="I64" s="219" t="s">
        <v>14250</v>
      </c>
      <c r="J64" s="219" t="s">
        <v>14250</v>
      </c>
      <c r="K64" s="273" t="s">
        <v>15544</v>
      </c>
      <c r="L64" s="273" t="s">
        <v>15545</v>
      </c>
      <c r="M64" s="273"/>
      <c r="N64" s="273"/>
      <c r="O64" s="273" t="s">
        <v>15521</v>
      </c>
      <c r="P64" s="220"/>
      <c r="Q64" s="274"/>
      <c r="R64" s="217" t="str">
        <f ca="1">IF(ISERROR($V64),"",OFFSET('Smelter Look-up'!$C$4,$V64-4,0)&amp;"")</f>
        <v/>
      </c>
      <c r="S64" s="225" t="str">
        <f t="shared" ca="1" si="6"/>
        <v>BR</v>
      </c>
      <c r="T64" s="225" t="str">
        <f ca="1">IF(B64="","",IF(ISERROR(MATCH($J64,SorP!$B$1:$B$6230,0)),"",INDIRECT("'SorP'!$A$"&amp;MATCH($J64,SorP!$B$1:$B$6230,0))))</f>
        <v/>
      </c>
      <c r="U64" s="241"/>
      <c r="V64" s="275">
        <f>IF(C64="",NA(),MATCH($B64&amp;$C64,'Smelter Look-up'!$J:$J,0))</f>
        <v>484</v>
      </c>
      <c r="W64" s="276"/>
      <c r="X64" s="276">
        <f t="shared" si="7"/>
        <v>0</v>
      </c>
      <c r="Y64" s="276"/>
      <c r="Z64" s="276"/>
      <c r="AB64" s="278" t="str">
        <f t="shared" si="8"/>
        <v>TinSmelter not listed</v>
      </c>
    </row>
    <row r="65" spans="1:28" s="277" customFormat="1" ht="40.5">
      <c r="A65" s="216"/>
      <c r="B65" s="217" t="s">
        <v>1154</v>
      </c>
      <c r="C65" s="221" t="s">
        <v>1898</v>
      </c>
      <c r="D65" s="283" t="s">
        <v>15546</v>
      </c>
      <c r="E65" s="217" t="s">
        <v>1125</v>
      </c>
      <c r="F65" s="217" t="s">
        <v>15547</v>
      </c>
      <c r="G65" s="217" t="s">
        <v>13577</v>
      </c>
      <c r="H65" s="218" t="s">
        <v>15548</v>
      </c>
      <c r="I65" s="219" t="s">
        <v>14250</v>
      </c>
      <c r="J65" s="219" t="s">
        <v>14250</v>
      </c>
      <c r="K65" s="273" t="s">
        <v>15549</v>
      </c>
      <c r="L65" s="273" t="s">
        <v>15550</v>
      </c>
      <c r="M65" s="273"/>
      <c r="N65" s="273"/>
      <c r="O65" s="273" t="s">
        <v>15521</v>
      </c>
      <c r="P65" s="220"/>
      <c r="Q65" s="274"/>
      <c r="R65" s="217" t="str">
        <f ca="1">IF(ISERROR($V65),"",OFFSET('Smelter Look-up'!$C$4,$V65-4,0)&amp;"")</f>
        <v/>
      </c>
      <c r="S65" s="225" t="str">
        <f t="shared" ca="1" si="6"/>
        <v>ES</v>
      </c>
      <c r="T65" s="225" t="str">
        <f ca="1">IF(B65="","",IF(ISERROR(MATCH($J65,SorP!$B$1:$B$6230,0)),"",INDIRECT("'SorP'!$A$"&amp;MATCH($J65,SorP!$B$1:$B$6230,0))))</f>
        <v/>
      </c>
      <c r="U65" s="241"/>
      <c r="V65" s="275">
        <f>IF(C65="",NA(),MATCH($B65&amp;$C65,'Smelter Look-up'!$J:$J,0))</f>
        <v>484</v>
      </c>
      <c r="W65" s="276"/>
      <c r="X65" s="276">
        <f t="shared" si="7"/>
        <v>0</v>
      </c>
      <c r="Y65" s="276"/>
      <c r="Z65" s="276"/>
      <c r="AB65" s="278" t="str">
        <f t="shared" si="8"/>
        <v>TinSmelter not listed</v>
      </c>
    </row>
    <row r="66" spans="1:28" s="277" customFormat="1" ht="54">
      <c r="A66" s="216"/>
      <c r="B66" s="217" t="s">
        <v>1156</v>
      </c>
      <c r="C66" s="221" t="s">
        <v>14228</v>
      </c>
      <c r="D66" s="283" t="s">
        <v>14228</v>
      </c>
      <c r="E66" s="217" t="s">
        <v>1119</v>
      </c>
      <c r="F66" s="217" t="s">
        <v>14245</v>
      </c>
      <c r="G66" s="217" t="s">
        <v>13577</v>
      </c>
      <c r="H66" s="218" t="s">
        <v>15551</v>
      </c>
      <c r="I66" s="219" t="s">
        <v>14256</v>
      </c>
      <c r="J66" s="219" t="s">
        <v>3613</v>
      </c>
      <c r="K66" s="273" t="s">
        <v>15552</v>
      </c>
      <c r="L66" s="273" t="s">
        <v>15553</v>
      </c>
      <c r="M66" s="273"/>
      <c r="N66" s="273"/>
      <c r="O66" s="273" t="s">
        <v>15521</v>
      </c>
      <c r="P66" s="220"/>
      <c r="Q66" s="274"/>
      <c r="R66" s="217" t="str">
        <f ca="1">IF(ISERROR($V66),"",OFFSET('Smelter Look-up'!$C$4,$V66-4,0)&amp;"")</f>
        <v>Cronimet Brasil Ltda</v>
      </c>
      <c r="S66" s="225" t="str">
        <f t="shared" ca="1" si="6"/>
        <v>BR</v>
      </c>
      <c r="T66" s="225" t="str">
        <f ca="1">IF(B66="","",IF(ISERROR(MATCH($J66,SorP!$B$1:$B$6230,0)),"",INDIRECT("'SorP'!$A$"&amp;MATCH($J66,SorP!$B$1:$B$6230,0))))</f>
        <v>BR-SC</v>
      </c>
      <c r="U66" s="241"/>
      <c r="V66" s="275">
        <f>IF(C66="",NA(),MATCH($B66&amp;$C66,'Smelter Look-up'!$J:$J,0))</f>
        <v>504</v>
      </c>
      <c r="W66" s="276"/>
      <c r="X66" s="276">
        <f t="shared" si="7"/>
        <v>0</v>
      </c>
      <c r="Y66" s="276"/>
      <c r="Z66" s="276"/>
      <c r="AB66" s="278" t="str">
        <f t="shared" si="8"/>
        <v>TungstenCronimet Brasil Ltda</v>
      </c>
    </row>
    <row r="67" spans="1:28" s="277" customFormat="1" ht="40.5">
      <c r="A67" s="216"/>
      <c r="B67" s="217" t="s">
        <v>1154</v>
      </c>
      <c r="C67" s="221" t="s">
        <v>1898</v>
      </c>
      <c r="D67" s="283" t="s">
        <v>15554</v>
      </c>
      <c r="E67" s="217" t="s">
        <v>1128</v>
      </c>
      <c r="F67" s="217" t="s">
        <v>15555</v>
      </c>
      <c r="G67" s="217" t="s">
        <v>13577</v>
      </c>
      <c r="H67" s="218">
        <f ca="1">IF(ISERROR($V67),"",OFFSET('Smelter Look-up'!$G$4,$V67-4,0))</f>
        <v>0</v>
      </c>
      <c r="I67" s="219">
        <f ca="1">IF(ISERROR($V67),"",OFFSET('Smelter Look-up'!$H$4,$V67-4,0))</f>
        <v>0</v>
      </c>
      <c r="J67" s="219">
        <f ca="1">IF(ISERROR($V67),"",OFFSET('Smelter Look-up'!$I$4,$V67-4,0))</f>
        <v>0</v>
      </c>
      <c r="K67" s="273"/>
      <c r="L67" s="273"/>
      <c r="M67" s="273"/>
      <c r="N67" s="273"/>
      <c r="O67" s="273"/>
      <c r="P67" s="220"/>
      <c r="Q67" s="274"/>
      <c r="R67" s="217" t="str">
        <f ca="1">IF(ISERROR($V67),"",OFFSET('Smelter Look-up'!$C$4,$V67-4,0)&amp;"")</f>
        <v/>
      </c>
      <c r="S67" s="225" t="str">
        <f t="shared" ca="1" si="6"/>
        <v>ID</v>
      </c>
      <c r="T67" s="225" t="str">
        <f ca="1">IF(B67="","",IF(ISERROR(MATCH($J67,SorP!$B$1:$B$6230,0)),"",INDIRECT("'SorP'!$A$"&amp;MATCH($J67,SorP!$B$1:$B$6230,0))))</f>
        <v/>
      </c>
      <c r="U67" s="241"/>
      <c r="V67" s="275">
        <f>IF(C67="",NA(),MATCH($B67&amp;$C67,'Smelter Look-up'!$J:$J,0))</f>
        <v>484</v>
      </c>
      <c r="W67" s="276"/>
      <c r="X67" s="276">
        <f t="shared" si="7"/>
        <v>0</v>
      </c>
      <c r="Y67" s="276"/>
      <c r="Z67" s="276"/>
      <c r="AB67" s="278" t="str">
        <f t="shared" si="8"/>
        <v>TinSmelter not listed</v>
      </c>
    </row>
    <row r="68" spans="1:28" s="277" customFormat="1" ht="40.5">
      <c r="A68" s="216"/>
      <c r="B68" s="217" t="s">
        <v>1154</v>
      </c>
      <c r="C68" s="221" t="s">
        <v>1898</v>
      </c>
      <c r="D68" s="283" t="s">
        <v>15556</v>
      </c>
      <c r="E68" s="217" t="s">
        <v>1128</v>
      </c>
      <c r="F68" s="217" t="s">
        <v>15557</v>
      </c>
      <c r="G68" s="217" t="s">
        <v>13577</v>
      </c>
      <c r="H68" s="218">
        <f ca="1">IF(ISERROR($V68),"",OFFSET('Smelter Look-up'!$G$4,$V68-4,0))</f>
        <v>0</v>
      </c>
      <c r="I68" s="219">
        <f ca="1">IF(ISERROR($V68),"",OFFSET('Smelter Look-up'!$H$4,$V68-4,0))</f>
        <v>0</v>
      </c>
      <c r="J68" s="219">
        <f ca="1">IF(ISERROR($V68),"",OFFSET('Smelter Look-up'!$I$4,$V68-4,0))</f>
        <v>0</v>
      </c>
      <c r="K68" s="273"/>
      <c r="L68" s="273"/>
      <c r="M68" s="273"/>
      <c r="N68" s="273"/>
      <c r="O68" s="273"/>
      <c r="P68" s="220"/>
      <c r="Q68" s="274"/>
      <c r="R68" s="217" t="str">
        <f ca="1">IF(ISERROR($V68),"",OFFSET('Smelter Look-up'!$C$4,$V68-4,0)&amp;"")</f>
        <v/>
      </c>
      <c r="S68" s="225" t="str">
        <f t="shared" ca="1" si="6"/>
        <v>ID</v>
      </c>
      <c r="T68" s="225" t="str">
        <f ca="1">IF(B68="","",IF(ISERROR(MATCH($J68,SorP!$B$1:$B$6230,0)),"",INDIRECT("'SorP'!$A$"&amp;MATCH($J68,SorP!$B$1:$B$6230,0))))</f>
        <v/>
      </c>
      <c r="U68" s="241"/>
      <c r="V68" s="275">
        <f>IF(C68="",NA(),MATCH($B68&amp;$C68,'Smelter Look-up'!$J:$J,0))</f>
        <v>484</v>
      </c>
      <c r="W68" s="276"/>
      <c r="X68" s="276">
        <f t="shared" si="7"/>
        <v>0</v>
      </c>
      <c r="Y68" s="276"/>
      <c r="Z68" s="276"/>
      <c r="AB68" s="278" t="str">
        <f t="shared" si="8"/>
        <v>TinSmelter not listed</v>
      </c>
    </row>
    <row r="69" spans="1:28" s="277" customFormat="1" ht="40.5">
      <c r="A69" s="216"/>
      <c r="B69" s="217" t="s">
        <v>1154</v>
      </c>
      <c r="C69" s="221" t="s">
        <v>1898</v>
      </c>
      <c r="D69" s="283" t="s">
        <v>15558</v>
      </c>
      <c r="E69" s="217" t="s">
        <v>1128</v>
      </c>
      <c r="F69" s="217" t="s">
        <v>15559</v>
      </c>
      <c r="G69" s="217" t="s">
        <v>15513</v>
      </c>
      <c r="H69" s="218">
        <f ca="1">IF(ISERROR($V69),"",OFFSET('Smelter Look-up'!$G$4,$V69-4,0))</f>
        <v>0</v>
      </c>
      <c r="I69" s="219">
        <f ca="1">IF(ISERROR($V69),"",OFFSET('Smelter Look-up'!$H$4,$V69-4,0))</f>
        <v>0</v>
      </c>
      <c r="J69" s="219">
        <f ca="1">IF(ISERROR($V69),"",OFFSET('Smelter Look-up'!$I$4,$V69-4,0))</f>
        <v>0</v>
      </c>
      <c r="K69" s="273"/>
      <c r="L69" s="273"/>
      <c r="M69" s="273"/>
      <c r="N69" s="273"/>
      <c r="O69" s="273"/>
      <c r="P69" s="220"/>
      <c r="Q69" s="274"/>
      <c r="R69" s="217" t="str">
        <f ca="1">IF(ISERROR($V69),"",OFFSET('Smelter Look-up'!$C$4,$V69-4,0)&amp;"")</f>
        <v/>
      </c>
      <c r="S69" s="225" t="str">
        <f t="shared" ref="S69" ca="1" si="9">IF(B69="","",IF(ISERROR(MATCH($E69,CL,0)),"Unknown",INDIRECT("'C'!$A$"&amp;MATCH($E69,CL,0)+1)))</f>
        <v>ID</v>
      </c>
      <c r="T69" s="225" t="str">
        <f ca="1">IF(B69="","",IF(ISERROR(MATCH($J69,SorP!$B$1:$B$6230,0)),"",INDIRECT("'SorP'!$A$"&amp;MATCH($J69,SorP!$B$1:$B$6230,0))))</f>
        <v/>
      </c>
      <c r="U69" s="241"/>
      <c r="V69" s="275">
        <f>IF(C69="",NA(),MATCH($B69&amp;$C69,'Smelter Look-up'!$J:$J,0))</f>
        <v>484</v>
      </c>
      <c r="W69" s="276"/>
      <c r="X69" s="276">
        <f t="shared" ref="X69" si="10">IF(AND(C69="Smelter not listed",OR(LEN(D69)=0,LEN(E69)=0)),1,0)</f>
        <v>0</v>
      </c>
      <c r="Y69" s="276"/>
      <c r="Z69" s="276"/>
      <c r="AB69" s="278" t="str">
        <f t="shared" ref="AB69" si="11">B69&amp;C69</f>
        <v>TinSmelter not listed</v>
      </c>
    </row>
    <row r="70" spans="1:28" s="277" customFormat="1" ht="40.5">
      <c r="A70" s="216"/>
      <c r="B70" s="217" t="s">
        <v>1154</v>
      </c>
      <c r="C70" s="221" t="s">
        <v>1898</v>
      </c>
      <c r="D70" s="283" t="s">
        <v>15560</v>
      </c>
      <c r="E70" s="217" t="s">
        <v>1128</v>
      </c>
      <c r="F70" s="217" t="s">
        <v>15561</v>
      </c>
      <c r="G70" s="217" t="s">
        <v>13577</v>
      </c>
      <c r="H70" s="218">
        <f ca="1">IF(ISERROR($V70),"",OFFSET('Smelter Look-up'!$G$4,$V70-4,0))</f>
        <v>0</v>
      </c>
      <c r="I70" s="219">
        <f ca="1">IF(ISERROR($V70),"",OFFSET('Smelter Look-up'!$H$4,$V70-4,0))</f>
        <v>0</v>
      </c>
      <c r="J70" s="219">
        <f ca="1">IF(ISERROR($V70),"",OFFSET('Smelter Look-up'!$I$4,$V70-4,0))</f>
        <v>0</v>
      </c>
      <c r="K70" s="273"/>
      <c r="L70" s="273"/>
      <c r="M70" s="273"/>
      <c r="N70" s="273"/>
      <c r="O70" s="273"/>
      <c r="P70" s="220"/>
      <c r="Q70" s="274"/>
      <c r="R70" s="217" t="str">
        <f ca="1">IF(ISERROR($V70),"",OFFSET('Smelter Look-up'!$C$4,$V70-4,0)&amp;"")</f>
        <v/>
      </c>
      <c r="S70" s="225" t="str">
        <f t="shared" ref="S70:S101" ca="1" si="12">IF(B70="","",IF(ISERROR(MATCH($E70,CL,0)),"Unknown",INDIRECT("'C'!$A$"&amp;MATCH($E70,CL,0)+1)))</f>
        <v>ID</v>
      </c>
      <c r="T70" s="225" t="str">
        <f ca="1">IF(B70="","",IF(ISERROR(MATCH($J70,SorP!$B$1:$B$6230,0)),"",INDIRECT("'SorP'!$A$"&amp;MATCH($J70,SorP!$B$1:$B$6230,0))))</f>
        <v/>
      </c>
      <c r="U70" s="241"/>
      <c r="V70" s="275">
        <f>IF(C70="",NA(),MATCH($B70&amp;$C70,'Smelter Look-up'!$J:$J,0))</f>
        <v>484</v>
      </c>
      <c r="W70" s="276"/>
      <c r="X70" s="276">
        <f t="shared" ref="X70:X101" si="13">IF(AND(C70="Smelter not listed",OR(LEN(D70)=0,LEN(E70)=0)),1,0)</f>
        <v>0</v>
      </c>
      <c r="Y70" s="276"/>
      <c r="Z70" s="276"/>
      <c r="AB70" s="278" t="str">
        <f t="shared" ref="AB70:AB101" si="14">B70&amp;C70</f>
        <v>TinSmelter not listed</v>
      </c>
    </row>
    <row r="71" spans="1:28" s="277" customFormat="1" ht="40.5">
      <c r="A71" s="216"/>
      <c r="B71" s="217" t="s">
        <v>1154</v>
      </c>
      <c r="C71" s="221" t="s">
        <v>1898</v>
      </c>
      <c r="D71" s="283" t="s">
        <v>15562</v>
      </c>
      <c r="E71" s="217" t="s">
        <v>1128</v>
      </c>
      <c r="F71" s="217" t="s">
        <v>15563</v>
      </c>
      <c r="G71" s="217" t="s">
        <v>15513</v>
      </c>
      <c r="H71" s="218">
        <f ca="1">IF(ISERROR($V71),"",OFFSET('Smelter Look-up'!$G$4,$V71-4,0))</f>
        <v>0</v>
      </c>
      <c r="I71" s="219">
        <f ca="1">IF(ISERROR($V71),"",OFFSET('Smelter Look-up'!$H$4,$V71-4,0))</f>
        <v>0</v>
      </c>
      <c r="J71" s="219">
        <f ca="1">IF(ISERROR($V71),"",OFFSET('Smelter Look-up'!$I$4,$V71-4,0))</f>
        <v>0</v>
      </c>
      <c r="K71" s="273"/>
      <c r="L71" s="273"/>
      <c r="M71" s="273"/>
      <c r="N71" s="273"/>
      <c r="O71" s="273"/>
      <c r="P71" s="220"/>
      <c r="Q71" s="274"/>
      <c r="R71" s="217" t="str">
        <f ca="1">IF(ISERROR($V71),"",OFFSET('Smelter Look-up'!$C$4,$V71-4,0)&amp;"")</f>
        <v/>
      </c>
      <c r="S71" s="225" t="str">
        <f t="shared" ca="1" si="12"/>
        <v>ID</v>
      </c>
      <c r="T71" s="225" t="str">
        <f ca="1">IF(B71="","",IF(ISERROR(MATCH($J71,SorP!$B$1:$B$6230,0)),"",INDIRECT("'SorP'!$A$"&amp;MATCH($J71,SorP!$B$1:$B$6230,0))))</f>
        <v/>
      </c>
      <c r="U71" s="241"/>
      <c r="V71" s="275">
        <f>IF(C71="",NA(),MATCH($B71&amp;$C71,'Smelter Look-up'!$J:$J,0))</f>
        <v>484</v>
      </c>
      <c r="W71" s="276"/>
      <c r="X71" s="276">
        <f t="shared" si="13"/>
        <v>0</v>
      </c>
      <c r="Y71" s="276"/>
      <c r="Z71" s="276"/>
      <c r="AB71" s="278" t="str">
        <f t="shared" si="14"/>
        <v>TinSmelter not listed</v>
      </c>
    </row>
    <row r="72" spans="1:28" s="277" customFormat="1" ht="67.5">
      <c r="A72" s="216"/>
      <c r="B72" s="217" t="s">
        <v>1155</v>
      </c>
      <c r="C72" s="221" t="s">
        <v>1418</v>
      </c>
      <c r="D72" s="283" t="s">
        <v>1418</v>
      </c>
      <c r="E72" s="217" t="s">
        <v>2576</v>
      </c>
      <c r="F72" s="217" t="s">
        <v>1419</v>
      </c>
      <c r="G72" s="217" t="s">
        <v>15513</v>
      </c>
      <c r="H72" s="218">
        <f ca="1">IF(ISERROR($V72),"",OFFSET('Smelter Look-up'!$G$4,$V72-4,0))</f>
        <v>0</v>
      </c>
      <c r="I72" s="219" t="str">
        <f ca="1">IF(ISERROR($V72),"",OFFSET('Smelter Look-up'!$H$4,$V72-4,0))</f>
        <v>Gastonia</v>
      </c>
      <c r="J72" s="219" t="str">
        <f ca="1">IF(ISERROR($V72),"",OFFSET('Smelter Look-up'!$I$4,$V72-4,0))</f>
        <v>North Carolina</v>
      </c>
      <c r="K72" s="273"/>
      <c r="L72" s="273"/>
      <c r="M72" s="273"/>
      <c r="N72" s="273"/>
      <c r="O72" s="273"/>
      <c r="P72" s="220"/>
      <c r="Q72" s="274"/>
      <c r="R72" s="217" t="str">
        <f ca="1">IF(ISERROR($V72),"",OFFSET('Smelter Look-up'!$C$4,$V72-4,0)&amp;"")</f>
        <v>D Block Metals, LLC</v>
      </c>
      <c r="S72" s="225" t="str">
        <f t="shared" ca="1" si="12"/>
        <v>US</v>
      </c>
      <c r="T72" s="225" t="str">
        <f ca="1">IF(B72="","",IF(ISERROR(MATCH($J72,SorP!$B$1:$B$6230,0)),"",INDIRECT("'SorP'!$A$"&amp;MATCH($J72,SorP!$B$1:$B$6230,0))))</f>
        <v>US-NC</v>
      </c>
      <c r="U72" s="241"/>
      <c r="V72" s="275">
        <f>IF(C72="",NA(),MATCH($B72&amp;$C72,'Smelter Look-up'!$J:$J,0))</f>
        <v>299</v>
      </c>
      <c r="W72" s="276"/>
      <c r="X72" s="276">
        <f t="shared" si="13"/>
        <v>0</v>
      </c>
      <c r="Y72" s="276"/>
      <c r="Z72" s="276"/>
      <c r="AB72" s="278" t="str">
        <f t="shared" si="14"/>
        <v>TantalumD Block Metals, LLC</v>
      </c>
    </row>
    <row r="73" spans="1:28" s="277" customFormat="1" ht="40.5">
      <c r="A73" s="216"/>
      <c r="B73" s="217" t="s">
        <v>1153</v>
      </c>
      <c r="C73" s="221" t="s">
        <v>1898</v>
      </c>
      <c r="D73" s="283" t="s">
        <v>15564</v>
      </c>
      <c r="E73" s="217" t="s">
        <v>1134</v>
      </c>
      <c r="F73" s="217" t="s">
        <v>15565</v>
      </c>
      <c r="G73" s="217" t="s">
        <v>15513</v>
      </c>
      <c r="H73" s="218">
        <f ca="1">IF(ISERROR($V73),"",OFFSET('Smelter Look-up'!$G$4,$V73-4,0))</f>
        <v>0</v>
      </c>
      <c r="I73" s="219">
        <f ca="1">IF(ISERROR($V73),"",OFFSET('Smelter Look-up'!$H$4,$V73-4,0))</f>
        <v>0</v>
      </c>
      <c r="J73" s="219">
        <f ca="1">IF(ISERROR($V73),"",OFFSET('Smelter Look-up'!$I$4,$V73-4,0))</f>
        <v>0</v>
      </c>
      <c r="K73" s="273"/>
      <c r="L73" s="273"/>
      <c r="M73" s="273"/>
      <c r="N73" s="273"/>
      <c r="O73" s="273"/>
      <c r="P73" s="220"/>
      <c r="Q73" s="274"/>
      <c r="R73" s="217" t="str">
        <f ca="1">IF(ISERROR($V73),"",OFFSET('Smelter Look-up'!$C$4,$V73-4,0)&amp;"")</f>
        <v/>
      </c>
      <c r="S73" s="225" t="str">
        <f t="shared" ca="1" si="12"/>
        <v>KR</v>
      </c>
      <c r="T73" s="225" t="str">
        <f ca="1">IF(B73="","",IF(ISERROR(MATCH($J73,SorP!$B$1:$B$6230,0)),"",INDIRECT("'SorP'!$A$"&amp;MATCH($J73,SorP!$B$1:$B$6230,0))))</f>
        <v/>
      </c>
      <c r="U73" s="241"/>
      <c r="V73" s="275">
        <f>IF(C73="",NA(),MATCH($B73&amp;$C73,'Smelter Look-up'!$J:$J,0))</f>
        <v>293</v>
      </c>
      <c r="W73" s="276"/>
      <c r="X73" s="276">
        <f t="shared" si="13"/>
        <v>0</v>
      </c>
      <c r="Y73" s="276"/>
      <c r="Z73" s="276"/>
      <c r="AB73" s="278" t="str">
        <f t="shared" si="14"/>
        <v>GoldSmelter not listed</v>
      </c>
    </row>
    <row r="74" spans="1:28" s="277" customFormat="1" ht="81">
      <c r="A74" s="216"/>
      <c r="B74" s="217" t="s">
        <v>1156</v>
      </c>
      <c r="C74" s="221" t="s">
        <v>1898</v>
      </c>
      <c r="D74" s="283" t="s">
        <v>15566</v>
      </c>
      <c r="E74" s="217" t="s">
        <v>1131</v>
      </c>
      <c r="F74" s="217" t="s">
        <v>14250</v>
      </c>
      <c r="G74" s="217" t="s">
        <v>14250</v>
      </c>
      <c r="H74" s="218">
        <f ca="1">IF(ISERROR($V74),"",OFFSET('Smelter Look-up'!$G$4,$V74-4,0))</f>
        <v>0</v>
      </c>
      <c r="I74" s="219">
        <f ca="1">IF(ISERROR($V74),"",OFFSET('Smelter Look-up'!$H$4,$V74-4,0))</f>
        <v>0</v>
      </c>
      <c r="J74" s="219">
        <f ca="1">IF(ISERROR($V74),"",OFFSET('Smelter Look-up'!$I$4,$V74-4,0))</f>
        <v>0</v>
      </c>
      <c r="K74" s="273"/>
      <c r="L74" s="273"/>
      <c r="M74" s="273"/>
      <c r="N74" s="273"/>
      <c r="O74" s="273"/>
      <c r="P74" s="220"/>
      <c r="Q74" s="274" t="s">
        <v>15525</v>
      </c>
      <c r="R74" s="217" t="str">
        <f ca="1">IF(ISERROR($V74),"",OFFSET('Smelter Look-up'!$C$4,$V74-4,0)&amp;"")</f>
        <v/>
      </c>
      <c r="S74" s="225" t="str">
        <f t="shared" ca="1" si="12"/>
        <v>JP</v>
      </c>
      <c r="T74" s="225" t="str">
        <f ca="1">IF(B74="","",IF(ISERROR(MATCH($J74,SorP!$B$1:$B$6230,0)),"",INDIRECT("'SorP'!$A$"&amp;MATCH($J74,SorP!$B$1:$B$6230,0))))</f>
        <v/>
      </c>
      <c r="U74" s="241"/>
      <c r="V74" s="275">
        <f>IF(C74="",NA(),MATCH($B74&amp;$C74,'Smelter Look-up'!$J:$J,0))</f>
        <v>590</v>
      </c>
      <c r="W74" s="276"/>
      <c r="X74" s="276">
        <f t="shared" si="13"/>
        <v>0</v>
      </c>
      <c r="Y74" s="276"/>
      <c r="Z74" s="276"/>
      <c r="AB74" s="278" t="str">
        <f t="shared" si="14"/>
        <v>TungstenSmelter not listed</v>
      </c>
    </row>
    <row r="75" spans="1:28" s="277" customFormat="1" ht="81">
      <c r="A75" s="216"/>
      <c r="B75" s="217" t="s">
        <v>1153</v>
      </c>
      <c r="C75" s="221" t="s">
        <v>684</v>
      </c>
      <c r="D75" s="283" t="s">
        <v>684</v>
      </c>
      <c r="E75" s="217" t="s">
        <v>1123</v>
      </c>
      <c r="F75" s="217" t="s">
        <v>685</v>
      </c>
      <c r="G75" s="217" t="s">
        <v>15513</v>
      </c>
      <c r="H75" s="218">
        <f ca="1">IF(ISERROR($V75),"",OFFSET('Smelter Look-up'!$G$4,$V75-4,0))</f>
        <v>0</v>
      </c>
      <c r="I75" s="219" t="str">
        <f ca="1">IF(ISERROR($V75),"",OFFSET('Smelter Look-up'!$H$4,$V75-4,0))</f>
        <v>Huangshi</v>
      </c>
      <c r="J75" s="219" t="str">
        <f ca="1">IF(ISERROR($V75),"",OFFSET('Smelter Look-up'!$I$4,$V75-4,0))</f>
        <v>Hubei Sheng</v>
      </c>
      <c r="K75" s="273"/>
      <c r="L75" s="273"/>
      <c r="M75" s="273"/>
      <c r="N75" s="273"/>
      <c r="O75" s="273"/>
      <c r="P75" s="220"/>
      <c r="Q75" s="274"/>
      <c r="R75" s="217" t="str">
        <f ca="1">IF(ISERROR($V75),"",OFFSET('Smelter Look-up'!$C$4,$V75-4,0)&amp;"")</f>
        <v>Daye Non-Ferrous Metals Mining Ltd.</v>
      </c>
      <c r="S75" s="225" t="str">
        <f t="shared" ca="1" si="12"/>
        <v>CN</v>
      </c>
      <c r="T75" s="225" t="str">
        <f ca="1">IF(B75="","",IF(ISERROR(MATCH($J75,SorP!$B$1:$B$6230,0)),"",INDIRECT("'SorP'!$A$"&amp;MATCH($J75,SorP!$B$1:$B$6230,0))))</f>
        <v>CN-HB</v>
      </c>
      <c r="U75" s="241"/>
      <c r="V75" s="275">
        <f>IF(C75="",NA(),MATCH($B75&amp;$C75,'Smelter Look-up'!$J:$J,0))</f>
        <v>55</v>
      </c>
      <c r="W75" s="276"/>
      <c r="X75" s="276">
        <f t="shared" si="13"/>
        <v>0</v>
      </c>
      <c r="Y75" s="276"/>
      <c r="Z75" s="276"/>
      <c r="AB75" s="278" t="str">
        <f t="shared" si="14"/>
        <v>GoldDaye Non-Ferrous Metals Mining Ltd.</v>
      </c>
    </row>
    <row r="76" spans="1:28" s="277" customFormat="1" ht="94.5">
      <c r="A76" s="216"/>
      <c r="B76" s="217" t="s">
        <v>1153</v>
      </c>
      <c r="C76" s="221" t="s">
        <v>2580</v>
      </c>
      <c r="D76" s="283" t="s">
        <v>2580</v>
      </c>
      <c r="E76" s="217" t="s">
        <v>1124</v>
      </c>
      <c r="F76" s="217" t="s">
        <v>2581</v>
      </c>
      <c r="G76" s="217" t="s">
        <v>15513</v>
      </c>
      <c r="H76" s="218">
        <f ca="1">IF(ISERROR($V76),"",OFFSET('Smelter Look-up'!$G$4,$V76-4,0))</f>
        <v>0</v>
      </c>
      <c r="I76" s="219" t="str">
        <f ca="1">IF(ISERROR($V76),"",OFFSET('Smelter Look-up'!$H$4,$V76-4,0))</f>
        <v>Pforzheim</v>
      </c>
      <c r="J76" s="219" t="str">
        <f ca="1">IF(ISERROR($V76),"",OFFSET('Smelter Look-up'!$I$4,$V76-4,0))</f>
        <v>Baden-Württemberg</v>
      </c>
      <c r="K76" s="273"/>
      <c r="L76" s="273"/>
      <c r="M76" s="273"/>
      <c r="N76" s="273"/>
      <c r="O76" s="273"/>
      <c r="P76" s="220"/>
      <c r="Q76" s="274"/>
      <c r="R76" s="217" t="str">
        <f ca="1">IF(ISERROR($V76),"",OFFSET('Smelter Look-up'!$C$4,$V76-4,0)&amp;"")</f>
        <v>Degussa Sonne / Mond Goldhandel GmbH</v>
      </c>
      <c r="S76" s="225" t="str">
        <f t="shared" ca="1" si="12"/>
        <v>DE</v>
      </c>
      <c r="T76" s="225" t="str">
        <f ca="1">IF(B76="","",IF(ISERROR(MATCH($J76,SorP!$B$1:$B$6230,0)),"",INDIRECT("'SorP'!$A$"&amp;MATCH($J76,SorP!$B$1:$B$6230,0))))</f>
        <v>DE-BW</v>
      </c>
      <c r="U76" s="241"/>
      <c r="V76" s="275">
        <f>IF(C76="",NA(),MATCH($B76&amp;$C76,'Smelter Look-up'!$J:$J,0))</f>
        <v>57</v>
      </c>
      <c r="W76" s="276"/>
      <c r="X76" s="276">
        <f t="shared" si="13"/>
        <v>0</v>
      </c>
      <c r="Y76" s="276"/>
      <c r="Z76" s="276"/>
      <c r="AB76" s="278" t="str">
        <f t="shared" si="14"/>
        <v>GoldDegussa Sonne / Mond Goldhandel GmbH</v>
      </c>
    </row>
    <row r="77" spans="1:28" s="277" customFormat="1" ht="54">
      <c r="A77" s="216"/>
      <c r="B77" s="217" t="s">
        <v>1153</v>
      </c>
      <c r="C77" s="221" t="s">
        <v>14134</v>
      </c>
      <c r="D77" s="283" t="s">
        <v>14134</v>
      </c>
      <c r="E77" s="217" t="s">
        <v>1115</v>
      </c>
      <c r="F77" s="217" t="s">
        <v>14135</v>
      </c>
      <c r="G77" s="217" t="s">
        <v>14250</v>
      </c>
      <c r="H77" s="218">
        <f ca="1">IF(ISERROR($V77),"",OFFSET('Smelter Look-up'!$G$4,$V77-4,0))</f>
        <v>0</v>
      </c>
      <c r="I77" s="219" t="str">
        <f ca="1">IF(ISERROR($V77),"",OFFSET('Smelter Look-up'!$H$4,$V77-4,0))</f>
        <v>Sharjah</v>
      </c>
      <c r="J77" s="219" t="str">
        <f ca="1">IF(ISERROR($V77),"",OFFSET('Smelter Look-up'!$I$4,$V77-4,0))</f>
        <v>Ash Shāriqah</v>
      </c>
      <c r="K77" s="273"/>
      <c r="L77" s="273"/>
      <c r="M77" s="273"/>
      <c r="N77" s="273"/>
      <c r="O77" s="273"/>
      <c r="P77" s="220"/>
      <c r="Q77" s="274"/>
      <c r="R77" s="217" t="str">
        <f ca="1">IF(ISERROR($V77),"",OFFSET('Smelter Look-up'!$C$4,$V77-4,0)&amp;"")</f>
        <v>Dijllah Gold Refinery FZC</v>
      </c>
      <c r="S77" s="225" t="str">
        <f t="shared" ca="1" si="12"/>
        <v>AE</v>
      </c>
      <c r="T77" s="225" t="str">
        <f ca="1">IF(B77="","",IF(ISERROR(MATCH($J77,SorP!$B$1:$B$6230,0)),"",INDIRECT("'SorP'!$A$"&amp;MATCH($J77,SorP!$B$1:$B$6230,0))))</f>
        <v>AE-SH</v>
      </c>
      <c r="U77" s="241"/>
      <c r="V77" s="275">
        <f>IF(C77="",NA(),MATCH($B77&amp;$C77,'Smelter Look-up'!$J:$J,0))</f>
        <v>58</v>
      </c>
      <c r="W77" s="276"/>
      <c r="X77" s="276">
        <f t="shared" si="13"/>
        <v>0</v>
      </c>
      <c r="Y77" s="276"/>
      <c r="Z77" s="276"/>
      <c r="AB77" s="278" t="str">
        <f t="shared" si="14"/>
        <v>GoldDijllah Gold Refinery FZC</v>
      </c>
    </row>
    <row r="78" spans="1:28" s="277" customFormat="1" ht="81">
      <c r="A78" s="216"/>
      <c r="B78" s="217" t="s">
        <v>1153</v>
      </c>
      <c r="C78" s="221" t="s">
        <v>13251</v>
      </c>
      <c r="D78" s="283" t="s">
        <v>13251</v>
      </c>
      <c r="E78" s="217" t="s">
        <v>1124</v>
      </c>
      <c r="F78" s="217" t="s">
        <v>688</v>
      </c>
      <c r="G78" s="217" t="s">
        <v>15513</v>
      </c>
      <c r="H78" s="218">
        <f ca="1">IF(ISERROR($V78),"",OFFSET('Smelter Look-up'!$G$4,$V78-4,0))</f>
        <v>0</v>
      </c>
      <c r="I78" s="219" t="str">
        <f ca="1">IF(ISERROR($V78),"",OFFSET('Smelter Look-up'!$H$4,$V78-4,0))</f>
        <v>Pforzheim</v>
      </c>
      <c r="J78" s="219" t="str">
        <f ca="1">IF(ISERROR($V78),"",OFFSET('Smelter Look-up'!$I$4,$V78-4,0))</f>
        <v>Baden-Württemberg</v>
      </c>
      <c r="K78" s="273"/>
      <c r="L78" s="273"/>
      <c r="M78" s="273"/>
      <c r="N78" s="273"/>
      <c r="O78" s="273"/>
      <c r="P78" s="220"/>
      <c r="Q78" s="274"/>
      <c r="R78" s="217" t="str">
        <f ca="1">IF(ISERROR($V78),"",OFFSET('Smelter Look-up'!$C$4,$V78-4,0)&amp;"")</f>
        <v>DODUCO Contacts and Refining GmbH</v>
      </c>
      <c r="S78" s="225" t="str">
        <f t="shared" ca="1" si="12"/>
        <v>DE</v>
      </c>
      <c r="T78" s="225" t="str">
        <f ca="1">IF(B78="","",IF(ISERROR(MATCH($J78,SorP!$B$1:$B$6230,0)),"",INDIRECT("'SorP'!$A$"&amp;MATCH($J78,SorP!$B$1:$B$6230,0))))</f>
        <v>DE-BW</v>
      </c>
      <c r="U78" s="241"/>
      <c r="V78" s="275">
        <f>IF(C78="",NA(),MATCH($B78&amp;$C78,'Smelter Look-up'!$J:$J,0))</f>
        <v>61</v>
      </c>
      <c r="W78" s="276"/>
      <c r="X78" s="276">
        <f t="shared" si="13"/>
        <v>0</v>
      </c>
      <c r="Y78" s="276"/>
      <c r="Z78" s="276"/>
      <c r="AB78" s="278" t="str">
        <f t="shared" si="14"/>
        <v>GoldDODUCO Contacts and Refining GmbH</v>
      </c>
    </row>
    <row r="79" spans="1:28" s="277" customFormat="1" ht="108">
      <c r="A79" s="216"/>
      <c r="B79" s="217" t="s">
        <v>1154</v>
      </c>
      <c r="C79" s="221" t="s">
        <v>14147</v>
      </c>
      <c r="D79" s="283" t="s">
        <v>14147</v>
      </c>
      <c r="E79" s="217" t="s">
        <v>1123</v>
      </c>
      <c r="F79" s="217" t="s">
        <v>14148</v>
      </c>
      <c r="G79" s="217" t="s">
        <v>14250</v>
      </c>
      <c r="H79" s="218">
        <f ca="1">IF(ISERROR($V79),"",OFFSET('Smelter Look-up'!$G$4,$V79-4,0))</f>
        <v>0</v>
      </c>
      <c r="I79" s="219" t="str">
        <f ca="1">IF(ISERROR($V79),"",OFFSET('Smelter Look-up'!$H$4,$V79-4,0))</f>
        <v>Dongguan</v>
      </c>
      <c r="J79" s="219" t="str">
        <f ca="1">IF(ISERROR($V79),"",OFFSET('Smelter Look-up'!$I$4,$V79-4,0))</f>
        <v>Guangdong Sheng</v>
      </c>
      <c r="K79" s="273"/>
      <c r="L79" s="273"/>
      <c r="M79" s="273"/>
      <c r="N79" s="273"/>
      <c r="O79" s="273"/>
      <c r="P79" s="220"/>
      <c r="Q79" s="274"/>
      <c r="R79" s="217" t="str">
        <f ca="1">IF(ISERROR($V79),"",OFFSET('Smelter Look-up'!$C$4,$V79-4,0)&amp;"")</f>
        <v>Dongguan CiEXPO Environmental Engineering Co., Ltd.</v>
      </c>
      <c r="S79" s="225" t="str">
        <f t="shared" ca="1" si="12"/>
        <v>CN</v>
      </c>
      <c r="T79" s="225" t="str">
        <f ca="1">IF(B79="","",IF(ISERROR(MATCH($J79,SorP!$B$1:$B$6230,0)),"",INDIRECT("'SorP'!$A$"&amp;MATCH($J79,SorP!$B$1:$B$6230,0))))</f>
        <v>CN-GD</v>
      </c>
      <c r="U79" s="241"/>
      <c r="V79" s="275">
        <f>IF(C79="",NA(),MATCH($B79&amp;$C79,'Smelter Look-up'!$J:$J,0))</f>
        <v>373</v>
      </c>
      <c r="W79" s="276"/>
      <c r="X79" s="276">
        <f t="shared" si="13"/>
        <v>0</v>
      </c>
      <c r="Y79" s="276"/>
      <c r="Z79" s="276"/>
      <c r="AB79" s="278" t="str">
        <f t="shared" si="14"/>
        <v>TinDongguan CiEXPO Environmental Engineering Co., Ltd.</v>
      </c>
    </row>
    <row r="80" spans="1:28" s="277" customFormat="1" ht="40.5">
      <c r="A80" s="216"/>
      <c r="B80" s="217" t="s">
        <v>1154</v>
      </c>
      <c r="C80" s="221" t="s">
        <v>1898</v>
      </c>
      <c r="D80" s="283" t="s">
        <v>15567</v>
      </c>
      <c r="E80" s="217" t="s">
        <v>1123</v>
      </c>
      <c r="F80" s="217" t="s">
        <v>14250</v>
      </c>
      <c r="G80" s="217" t="s">
        <v>14250</v>
      </c>
      <c r="H80" s="218">
        <f ca="1">IF(ISERROR($V80),"",OFFSET('Smelter Look-up'!$G$4,$V80-4,0))</f>
        <v>0</v>
      </c>
      <c r="I80" s="219">
        <f ca="1">IF(ISERROR($V80),"",OFFSET('Smelter Look-up'!$H$4,$V80-4,0))</f>
        <v>0</v>
      </c>
      <c r="J80" s="219">
        <f ca="1">IF(ISERROR($V80),"",OFFSET('Smelter Look-up'!$I$4,$V80-4,0))</f>
        <v>0</v>
      </c>
      <c r="K80" s="273"/>
      <c r="L80" s="273"/>
      <c r="M80" s="273"/>
      <c r="N80" s="273"/>
      <c r="O80" s="273"/>
      <c r="P80" s="220"/>
      <c r="Q80" s="274"/>
      <c r="R80" s="217" t="str">
        <f ca="1">IF(ISERROR($V80),"",OFFSET('Smelter Look-up'!$C$4,$V80-4,0)&amp;"")</f>
        <v/>
      </c>
      <c r="S80" s="225" t="str">
        <f t="shared" ca="1" si="12"/>
        <v>CN</v>
      </c>
      <c r="T80" s="225" t="str">
        <f ca="1">IF(B80="","",IF(ISERROR(MATCH($J80,SorP!$B$1:$B$6230,0)),"",INDIRECT("'SorP'!$A$"&amp;MATCH($J80,SorP!$B$1:$B$6230,0))))</f>
        <v/>
      </c>
      <c r="U80" s="241"/>
      <c r="V80" s="275">
        <f>IF(C80="",NA(),MATCH($B80&amp;$C80,'Smelter Look-up'!$J:$J,0))</f>
        <v>484</v>
      </c>
      <c r="W80" s="276"/>
      <c r="X80" s="276">
        <f t="shared" si="13"/>
        <v>0</v>
      </c>
      <c r="Y80" s="276"/>
      <c r="Z80" s="276"/>
      <c r="AB80" s="278" t="str">
        <f t="shared" si="14"/>
        <v>TinSmelter not listed</v>
      </c>
    </row>
    <row r="81" spans="1:28" s="277" customFormat="1" ht="27">
      <c r="A81" s="216"/>
      <c r="B81" s="217" t="s">
        <v>1153</v>
      </c>
      <c r="C81" s="221" t="s">
        <v>929</v>
      </c>
      <c r="D81" s="283" t="s">
        <v>929</v>
      </c>
      <c r="E81" s="217" t="s">
        <v>1131</v>
      </c>
      <c r="F81" s="217" t="s">
        <v>689</v>
      </c>
      <c r="G81" s="217" t="s">
        <v>15513</v>
      </c>
      <c r="H81" s="218">
        <f ca="1">IF(ISERROR($V81),"",OFFSET('Smelter Look-up'!$G$4,$V81-4,0))</f>
        <v>0</v>
      </c>
      <c r="I81" s="219" t="str">
        <f ca="1">IF(ISERROR($V81),"",OFFSET('Smelter Look-up'!$H$4,$V81-4,0))</f>
        <v>Kosaka</v>
      </c>
      <c r="J81" s="219" t="str">
        <f ca="1">IF(ISERROR($V81),"",OFFSET('Smelter Look-up'!$I$4,$V81-4,0))</f>
        <v>Akita</v>
      </c>
      <c r="K81" s="273"/>
      <c r="L81" s="273"/>
      <c r="M81" s="273"/>
      <c r="N81" s="273"/>
      <c r="O81" s="273"/>
      <c r="P81" s="220"/>
      <c r="Q81" s="274"/>
      <c r="R81" s="217" t="str">
        <f ca="1">IF(ISERROR($V81),"",OFFSET('Smelter Look-up'!$C$4,$V81-4,0)&amp;"")</f>
        <v>Dowa</v>
      </c>
      <c r="S81" s="225" t="str">
        <f t="shared" ca="1" si="12"/>
        <v>JP</v>
      </c>
      <c r="T81" s="225" t="str">
        <f ca="1">IF(B81="","",IF(ISERROR(MATCH($J81,SorP!$B$1:$B$6230,0)),"",INDIRECT("'SorP'!$A$"&amp;MATCH($J81,SorP!$B$1:$B$6230,0))))</f>
        <v>JP-05</v>
      </c>
      <c r="U81" s="241"/>
      <c r="V81" s="275">
        <f>IF(C81="",NA(),MATCH($B81&amp;$C81,'Smelter Look-up'!$J:$J,0))</f>
        <v>63</v>
      </c>
      <c r="W81" s="276"/>
      <c r="X81" s="276">
        <f t="shared" si="13"/>
        <v>0</v>
      </c>
      <c r="Y81" s="276"/>
      <c r="Z81" s="276"/>
      <c r="AB81" s="278" t="str">
        <f t="shared" si="14"/>
        <v>GoldDowa</v>
      </c>
    </row>
    <row r="82" spans="1:28" s="277" customFormat="1" ht="20">
      <c r="A82" s="216"/>
      <c r="B82" s="217" t="s">
        <v>1154</v>
      </c>
      <c r="C82" s="221" t="s">
        <v>929</v>
      </c>
      <c r="D82" s="283" t="s">
        <v>929</v>
      </c>
      <c r="E82" s="217" t="s">
        <v>1131</v>
      </c>
      <c r="F82" s="217" t="s">
        <v>1433</v>
      </c>
      <c r="G82" s="217" t="s">
        <v>15513</v>
      </c>
      <c r="H82" s="218">
        <f ca="1">IF(ISERROR($V82),"",OFFSET('Smelter Look-up'!$G$4,$V82-4,0))</f>
        <v>0</v>
      </c>
      <c r="I82" s="219" t="str">
        <f ca="1">IF(ISERROR($V82),"",OFFSET('Smelter Look-up'!$H$4,$V82-4,0))</f>
        <v>Kosaka</v>
      </c>
      <c r="J82" s="219" t="str">
        <f ca="1">IF(ISERROR($V82),"",OFFSET('Smelter Look-up'!$I$4,$V82-4,0))</f>
        <v>Akita</v>
      </c>
      <c r="K82" s="273"/>
      <c r="L82" s="273"/>
      <c r="M82" s="273"/>
      <c r="N82" s="273"/>
      <c r="O82" s="273"/>
      <c r="P82" s="220"/>
      <c r="Q82" s="274"/>
      <c r="R82" s="217" t="str">
        <f ca="1">IF(ISERROR($V82),"",OFFSET('Smelter Look-up'!$C$4,$V82-4,0)&amp;"")</f>
        <v>Dowa</v>
      </c>
      <c r="S82" s="225" t="str">
        <f t="shared" ca="1" si="12"/>
        <v>JP</v>
      </c>
      <c r="T82" s="225" t="str">
        <f ca="1">IF(B82="","",IF(ISERROR(MATCH($J82,SorP!$B$1:$B$6230,0)),"",INDIRECT("'SorP'!$A$"&amp;MATCH($J82,SorP!$B$1:$B$6230,0))))</f>
        <v>JP-05</v>
      </c>
      <c r="U82" s="241"/>
      <c r="V82" s="275">
        <f>IF(C82="",NA(),MATCH($B82&amp;$C82,'Smelter Look-up'!$J:$J,0))</f>
        <v>374</v>
      </c>
      <c r="W82" s="276"/>
      <c r="X82" s="276">
        <f t="shared" si="13"/>
        <v>0</v>
      </c>
      <c r="Y82" s="276"/>
      <c r="Z82" s="276"/>
      <c r="AB82" s="278" t="str">
        <f t="shared" si="14"/>
        <v>TinDowa</v>
      </c>
    </row>
    <row r="83" spans="1:28" s="277" customFormat="1" ht="67.5">
      <c r="A83" s="216"/>
      <c r="B83" s="217" t="s">
        <v>1153</v>
      </c>
      <c r="C83" s="221" t="s">
        <v>2368</v>
      </c>
      <c r="D83" s="283" t="s">
        <v>2368</v>
      </c>
      <c r="E83" s="217" t="s">
        <v>1134</v>
      </c>
      <c r="F83" s="217" t="s">
        <v>686</v>
      </c>
      <c r="G83" s="217" t="s">
        <v>15513</v>
      </c>
      <c r="H83" s="218">
        <f ca="1">IF(ISERROR($V83),"",OFFSET('Smelter Look-up'!$G$4,$V83-4,0))</f>
        <v>0</v>
      </c>
      <c r="I83" s="219" t="str">
        <f ca="1">IF(ISERROR($V83),"",OFFSET('Smelter Look-up'!$H$4,$V83-4,0))</f>
        <v>Gimpo</v>
      </c>
      <c r="J83" s="219" t="str">
        <f ca="1">IF(ISERROR($V83),"",OFFSET('Smelter Look-up'!$I$4,$V83-4,0))</f>
        <v>Gyeonggi-do</v>
      </c>
      <c r="K83" s="273"/>
      <c r="L83" s="273"/>
      <c r="M83" s="273"/>
      <c r="N83" s="273"/>
      <c r="O83" s="273"/>
      <c r="P83" s="220"/>
      <c r="Q83" s="274"/>
      <c r="R83" s="217" t="str">
        <f ca="1">IF(ISERROR($V83),"",OFFSET('Smelter Look-up'!$C$4,$V83-4,0)&amp;"")</f>
        <v>DSC (Do Sung Corporation)</v>
      </c>
      <c r="S83" s="225" t="str">
        <f t="shared" ca="1" si="12"/>
        <v>KR</v>
      </c>
      <c r="T83" s="225" t="str">
        <f ca="1">IF(B83="","",IF(ISERROR(MATCH($J83,SorP!$B$1:$B$6230,0)),"",INDIRECT("'SorP'!$A$"&amp;MATCH($J83,SorP!$B$1:$B$6230,0))))</f>
        <v>KR-41</v>
      </c>
      <c r="U83" s="241"/>
      <c r="V83" s="275">
        <f>IF(C83="",NA(),MATCH($B83&amp;$C83,'Smelter Look-up'!$J:$J,0))</f>
        <v>68</v>
      </c>
      <c r="W83" s="276"/>
      <c r="X83" s="276">
        <f t="shared" si="13"/>
        <v>0</v>
      </c>
      <c r="Y83" s="276"/>
      <c r="Z83" s="276"/>
      <c r="AB83" s="278" t="str">
        <f t="shared" si="14"/>
        <v>GoldDSC (Do Sung Corporation)</v>
      </c>
    </row>
    <row r="84" spans="1:28" s="277" customFormat="1" ht="54">
      <c r="A84" s="216"/>
      <c r="B84" s="217" t="s">
        <v>1155</v>
      </c>
      <c r="C84" s="221" t="s">
        <v>1898</v>
      </c>
      <c r="D84" s="283" t="s">
        <v>15568</v>
      </c>
      <c r="E84" s="217" t="s">
        <v>1123</v>
      </c>
      <c r="F84" s="217" t="s">
        <v>15569</v>
      </c>
      <c r="G84" s="217" t="s">
        <v>15513</v>
      </c>
      <c r="H84" s="218">
        <f ca="1">IF(ISERROR($V84),"",OFFSET('Smelter Look-up'!$G$4,$V84-4,0))</f>
        <v>0</v>
      </c>
      <c r="I84" s="219">
        <f ca="1">IF(ISERROR($V84),"",OFFSET('Smelter Look-up'!$H$4,$V84-4,0))</f>
        <v>0</v>
      </c>
      <c r="J84" s="219">
        <f ca="1">IF(ISERROR($V84),"",OFFSET('Smelter Look-up'!$I$4,$V84-4,0))</f>
        <v>0</v>
      </c>
      <c r="K84" s="273"/>
      <c r="L84" s="273"/>
      <c r="M84" s="273"/>
      <c r="N84" s="273"/>
      <c r="O84" s="273"/>
      <c r="P84" s="220"/>
      <c r="Q84" s="274"/>
      <c r="R84" s="217" t="str">
        <f ca="1">IF(ISERROR($V84),"",OFFSET('Smelter Look-up'!$C$4,$V84-4,0)&amp;"")</f>
        <v/>
      </c>
      <c r="S84" s="225" t="str">
        <f t="shared" ca="1" si="12"/>
        <v>CN</v>
      </c>
      <c r="T84" s="225" t="str">
        <f ca="1">IF(B84="","",IF(ISERROR(MATCH($J84,SorP!$B$1:$B$6230,0)),"",INDIRECT("'SorP'!$A$"&amp;MATCH($J84,SorP!$B$1:$B$6230,0))))</f>
        <v/>
      </c>
      <c r="U84" s="241"/>
      <c r="V84" s="275">
        <f>IF(C84="",NA(),MATCH($B84&amp;$C84,'Smelter Look-up'!$J:$J,0))</f>
        <v>353</v>
      </c>
      <c r="W84" s="276"/>
      <c r="X84" s="276">
        <f t="shared" si="13"/>
        <v>0</v>
      </c>
      <c r="Y84" s="276"/>
      <c r="Z84" s="276"/>
      <c r="AB84" s="278" t="str">
        <f t="shared" si="14"/>
        <v>TantalumSmelter not listed</v>
      </c>
    </row>
    <row r="85" spans="1:28" s="277" customFormat="1" ht="40.5">
      <c r="A85" s="216"/>
      <c r="B85" s="217" t="s">
        <v>1153</v>
      </c>
      <c r="C85" s="221" t="s">
        <v>1898</v>
      </c>
      <c r="D85" s="283" t="s">
        <v>15570</v>
      </c>
      <c r="E85" s="217" t="s">
        <v>1131</v>
      </c>
      <c r="F85" s="217" t="s">
        <v>407</v>
      </c>
      <c r="G85" s="217" t="s">
        <v>15513</v>
      </c>
      <c r="H85" s="218">
        <f ca="1">IF(ISERROR($V85),"",OFFSET('Smelter Look-up'!$G$4,$V85-4,0))</f>
        <v>0</v>
      </c>
      <c r="I85" s="219">
        <f ca="1">IF(ISERROR($V85),"",OFFSET('Smelter Look-up'!$H$4,$V85-4,0))</f>
        <v>0</v>
      </c>
      <c r="J85" s="219">
        <f ca="1">IF(ISERROR($V85),"",OFFSET('Smelter Look-up'!$I$4,$V85-4,0))</f>
        <v>0</v>
      </c>
      <c r="K85" s="273"/>
      <c r="L85" s="273"/>
      <c r="M85" s="273"/>
      <c r="N85" s="273"/>
      <c r="O85" s="273"/>
      <c r="P85" s="220"/>
      <c r="Q85" s="274"/>
      <c r="R85" s="217" t="str">
        <f ca="1">IF(ISERROR($V85),"",OFFSET('Smelter Look-up'!$C$4,$V85-4,0)&amp;"")</f>
        <v/>
      </c>
      <c r="S85" s="225" t="str">
        <f t="shared" ca="1" si="12"/>
        <v>JP</v>
      </c>
      <c r="T85" s="225" t="str">
        <f ca="1">IF(B85="","",IF(ISERROR(MATCH($J85,SorP!$B$1:$B$6230,0)),"",INDIRECT("'SorP'!$A$"&amp;MATCH($J85,SorP!$B$1:$B$6230,0))))</f>
        <v/>
      </c>
      <c r="U85" s="241"/>
      <c r="V85" s="275">
        <f>IF(C85="",NA(),MATCH($B85&amp;$C85,'Smelter Look-up'!$J:$J,0))</f>
        <v>293</v>
      </c>
      <c r="W85" s="276"/>
      <c r="X85" s="276">
        <f t="shared" si="13"/>
        <v>0</v>
      </c>
      <c r="Y85" s="276"/>
      <c r="Z85" s="276"/>
      <c r="AB85" s="278" t="str">
        <f t="shared" si="14"/>
        <v>GoldSmelter not listed</v>
      </c>
    </row>
    <row r="86" spans="1:28" s="277" customFormat="1" ht="81">
      <c r="A86" s="216"/>
      <c r="B86" s="217" t="s">
        <v>1153</v>
      </c>
      <c r="C86" s="221" t="s">
        <v>14209</v>
      </c>
      <c r="D86" s="283" t="s">
        <v>14209</v>
      </c>
      <c r="E86" s="217" t="s">
        <v>1131</v>
      </c>
      <c r="F86" s="217" t="s">
        <v>14250</v>
      </c>
      <c r="G86" s="217" t="s">
        <v>14250</v>
      </c>
      <c r="H86" s="218">
        <f ca="1">IF(ISERROR($V86),"",OFFSET('Smelter Look-up'!$G$4,$V86-4,0))</f>
        <v>0</v>
      </c>
      <c r="I86" s="219" t="str">
        <f ca="1">IF(ISERROR($V86),"",OFFSET('Smelter Look-up'!$H$4,$V86-4,0))</f>
        <v>Honjo</v>
      </c>
      <c r="J86" s="219" t="str">
        <f ca="1">IF(ISERROR($V86),"",OFFSET('Smelter Look-up'!$I$4,$V86-4,0))</f>
        <v>Saitama</v>
      </c>
      <c r="K86" s="273"/>
      <c r="L86" s="273"/>
      <c r="M86" s="273"/>
      <c r="N86" s="273"/>
      <c r="O86" s="273"/>
      <c r="P86" s="220"/>
      <c r="Q86" s="274"/>
      <c r="R86" s="217" t="str">
        <f ca="1">IF(ISERROR($V86),"",OFFSET('Smelter Look-up'!$C$4,$V86-4,0)&amp;"")</f>
        <v>Eco-System Recycling Co., Ltd. East Plant</v>
      </c>
      <c r="S86" s="225" t="str">
        <f t="shared" ca="1" si="12"/>
        <v>JP</v>
      </c>
      <c r="T86" s="225" t="str">
        <f ca="1">IF(B86="","",IF(ISERROR(MATCH($J86,SorP!$B$1:$B$6230,0)),"",INDIRECT("'SorP'!$A$"&amp;MATCH($J86,SorP!$B$1:$B$6230,0))))</f>
        <v>JP-11</v>
      </c>
      <c r="U86" s="241"/>
      <c r="V86" s="275">
        <f>IF(C86="",NA(),MATCH($B86&amp;$C86,'Smelter Look-up'!$J:$J,0))</f>
        <v>69</v>
      </c>
      <c r="W86" s="276"/>
      <c r="X86" s="276">
        <f t="shared" si="13"/>
        <v>0</v>
      </c>
      <c r="Y86" s="276"/>
      <c r="Z86" s="276"/>
      <c r="AB86" s="278" t="str">
        <f t="shared" si="14"/>
        <v>GoldEco-System Recycling Co., Ltd. East Plant</v>
      </c>
    </row>
    <row r="87" spans="1:28" s="277" customFormat="1" ht="94.5">
      <c r="A87" s="216"/>
      <c r="B87" s="217" t="s">
        <v>1153</v>
      </c>
      <c r="C87" s="221" t="s">
        <v>14210</v>
      </c>
      <c r="D87" s="283" t="s">
        <v>14210</v>
      </c>
      <c r="E87" s="217" t="s">
        <v>1131</v>
      </c>
      <c r="F87" s="217" t="s">
        <v>14234</v>
      </c>
      <c r="G87" s="217" t="s">
        <v>13577</v>
      </c>
      <c r="H87" s="218">
        <f ca="1">IF(ISERROR($V87),"",OFFSET('Smelter Look-up'!$G$4,$V87-4,0))</f>
        <v>0</v>
      </c>
      <c r="I87" s="219" t="str">
        <f ca="1">IF(ISERROR($V87),"",OFFSET('Smelter Look-up'!$H$4,$V87-4,0))</f>
        <v>Kazuno</v>
      </c>
      <c r="J87" s="219" t="str">
        <f ca="1">IF(ISERROR($V87),"",OFFSET('Smelter Look-up'!$I$4,$V87-4,0))</f>
        <v>Akita</v>
      </c>
      <c r="K87" s="273"/>
      <c r="L87" s="273"/>
      <c r="M87" s="273"/>
      <c r="N87" s="273"/>
      <c r="O87" s="273"/>
      <c r="P87" s="220"/>
      <c r="Q87" s="274"/>
      <c r="R87" s="217" t="str">
        <f ca="1">IF(ISERROR($V87),"",OFFSET('Smelter Look-up'!$C$4,$V87-4,0)&amp;"")</f>
        <v>Eco-System Recycling Co., Ltd. North Plant</v>
      </c>
      <c r="S87" s="225" t="str">
        <f t="shared" ca="1" si="12"/>
        <v>JP</v>
      </c>
      <c r="T87" s="225" t="str">
        <f ca="1">IF(B87="","",IF(ISERROR(MATCH($J87,SorP!$B$1:$B$6230,0)),"",INDIRECT("'SorP'!$A$"&amp;MATCH($J87,SorP!$B$1:$B$6230,0))))</f>
        <v>JP-05</v>
      </c>
      <c r="U87" s="241"/>
      <c r="V87" s="275">
        <f>IF(C87="",NA(),MATCH($B87&amp;$C87,'Smelter Look-up'!$J:$J,0))</f>
        <v>70</v>
      </c>
      <c r="W87" s="276"/>
      <c r="X87" s="276">
        <f t="shared" si="13"/>
        <v>0</v>
      </c>
      <c r="Y87" s="276"/>
      <c r="Z87" s="276"/>
      <c r="AB87" s="278" t="str">
        <f t="shared" si="14"/>
        <v>GoldEco-System Recycling Co., Ltd. North Plant</v>
      </c>
    </row>
    <row r="88" spans="1:28" s="277" customFormat="1" ht="94.5">
      <c r="A88" s="216"/>
      <c r="B88" s="217" t="s">
        <v>1153</v>
      </c>
      <c r="C88" s="221" t="s">
        <v>14211</v>
      </c>
      <c r="D88" s="283" t="s">
        <v>14211</v>
      </c>
      <c r="E88" s="217" t="s">
        <v>1131</v>
      </c>
      <c r="F88" s="217" t="s">
        <v>14235</v>
      </c>
      <c r="G88" s="217" t="s">
        <v>13577</v>
      </c>
      <c r="H88" s="218">
        <f ca="1">IF(ISERROR($V88),"",OFFSET('Smelter Look-up'!$G$4,$V88-4,0))</f>
        <v>0</v>
      </c>
      <c r="I88" s="219" t="str">
        <f ca="1">IF(ISERROR($V88),"",OFFSET('Smelter Look-up'!$H$4,$V88-4,0))</f>
        <v>Okayama</v>
      </c>
      <c r="J88" s="219" t="str">
        <f ca="1">IF(ISERROR($V88),"",OFFSET('Smelter Look-up'!$I$4,$V88-4,0))</f>
        <v>Okayama</v>
      </c>
      <c r="K88" s="273"/>
      <c r="L88" s="273"/>
      <c r="M88" s="273"/>
      <c r="N88" s="273"/>
      <c r="O88" s="273"/>
      <c r="P88" s="220"/>
      <c r="Q88" s="274"/>
      <c r="R88" s="217" t="str">
        <f ca="1">IF(ISERROR($V88),"",OFFSET('Smelter Look-up'!$C$4,$V88-4,0)&amp;"")</f>
        <v>Eco-System Recycling Co., Ltd. West Plant</v>
      </c>
      <c r="S88" s="225" t="str">
        <f t="shared" ca="1" si="12"/>
        <v>JP</v>
      </c>
      <c r="T88" s="225" t="str">
        <f ca="1">IF(B88="","",IF(ISERROR(MATCH($J88,SorP!$B$1:$B$6230,0)),"",INDIRECT("'SorP'!$A$"&amp;MATCH($J88,SorP!$B$1:$B$6230,0))))</f>
        <v>JP-33</v>
      </c>
      <c r="U88" s="241"/>
      <c r="V88" s="275">
        <f>IF(C88="",NA(),MATCH($B88&amp;$C88,'Smelter Look-up'!$J:$J,0))</f>
        <v>71</v>
      </c>
      <c r="W88" s="276"/>
      <c r="X88" s="276">
        <f t="shared" si="13"/>
        <v>0</v>
      </c>
      <c r="Y88" s="276"/>
      <c r="Z88" s="276"/>
      <c r="AB88" s="278" t="str">
        <f t="shared" si="14"/>
        <v>GoldEco-System Recycling Co., Ltd. West Plant</v>
      </c>
    </row>
    <row r="89" spans="1:28" s="277" customFormat="1" ht="202.5">
      <c r="A89" s="216"/>
      <c r="B89" s="217" t="s">
        <v>1154</v>
      </c>
      <c r="C89" s="221" t="s">
        <v>1846</v>
      </c>
      <c r="D89" s="283" t="s">
        <v>1846</v>
      </c>
      <c r="E89" s="217" t="s">
        <v>915</v>
      </c>
      <c r="F89" s="217" t="s">
        <v>1847</v>
      </c>
      <c r="G89" s="217" t="s">
        <v>15513</v>
      </c>
      <c r="H89" s="218">
        <f ca="1">IF(ISERROR($V89),"",OFFSET('Smelter Look-up'!$G$4,$V89-4,0))</f>
        <v>0</v>
      </c>
      <c r="I89" s="219" t="str">
        <f ca="1">IF(ISERROR($V89),"",OFFSET('Smelter Look-up'!$H$4,$V89-4,0))</f>
        <v>Tinh Tuc</v>
      </c>
      <c r="J89" s="219" t="str">
        <f ca="1">IF(ISERROR($V89),"",OFFSET('Smelter Look-up'!$I$4,$V89-4,0))</f>
        <v>Cao Bằng</v>
      </c>
      <c r="K89" s="273"/>
      <c r="L89" s="273"/>
      <c r="M89" s="273"/>
      <c r="N89" s="273"/>
      <c r="O89" s="273"/>
      <c r="P89" s="220"/>
      <c r="Q89" s="274"/>
      <c r="R89" s="217" t="str">
        <f ca="1">IF(ISERROR($V89),"",OFFSET('Smelter Look-up'!$C$4,$V89-4,0)&amp;"")</f>
        <v>Electro-Mechanical Facility of the Cao Bang Minerals &amp; Metallurgy Joint Stock Company</v>
      </c>
      <c r="S89" s="225" t="str">
        <f t="shared" ca="1" si="12"/>
        <v>VN</v>
      </c>
      <c r="T89" s="225" t="str">
        <f ca="1">IF(B89="","",IF(ISERROR(MATCH($J89,SorP!$B$1:$B$6230,0)),"",INDIRECT("'SorP'!$A$"&amp;MATCH($J89,SorP!$B$1:$B$6230,0))))</f>
        <v>VN-04</v>
      </c>
      <c r="U89" s="241"/>
      <c r="V89" s="275">
        <f>IF(C89="",NA(),MATCH($B89&amp;$C89,'Smelter Look-up'!$J:$J,0))</f>
        <v>376</v>
      </c>
      <c r="W89" s="276"/>
      <c r="X89" s="276">
        <f t="shared" si="13"/>
        <v>0</v>
      </c>
      <c r="Y89" s="276"/>
      <c r="Z89" s="276"/>
      <c r="AB89" s="278" t="str">
        <f t="shared" si="14"/>
        <v>TinElectro-Mechanical Facility of the Cao Bang Minerals &amp; Metallurgy Joint Stock Company</v>
      </c>
    </row>
    <row r="90" spans="1:28" s="277" customFormat="1" ht="40.5">
      <c r="A90" s="216"/>
      <c r="B90" s="217" t="s">
        <v>1153</v>
      </c>
      <c r="C90" s="221" t="s">
        <v>1898</v>
      </c>
      <c r="D90" s="283" t="s">
        <v>15571</v>
      </c>
      <c r="E90" s="217" t="s">
        <v>2576</v>
      </c>
      <c r="F90" s="217" t="s">
        <v>15572</v>
      </c>
      <c r="G90" s="217" t="s">
        <v>15513</v>
      </c>
      <c r="H90" s="218">
        <f ca="1">IF(ISERROR($V90),"",OFFSET('Smelter Look-up'!$G$4,$V90-4,0))</f>
        <v>0</v>
      </c>
      <c r="I90" s="219">
        <f ca="1">IF(ISERROR($V90),"",OFFSET('Smelter Look-up'!$H$4,$V90-4,0))</f>
        <v>0</v>
      </c>
      <c r="J90" s="219">
        <f ca="1">IF(ISERROR($V90),"",OFFSET('Smelter Look-up'!$I$4,$V90-4,0))</f>
        <v>0</v>
      </c>
      <c r="K90" s="273"/>
      <c r="L90" s="273"/>
      <c r="M90" s="273"/>
      <c r="N90" s="273"/>
      <c r="O90" s="273"/>
      <c r="P90" s="220"/>
      <c r="Q90" s="274"/>
      <c r="R90" s="217" t="str">
        <f ca="1">IF(ISERROR($V90),"",OFFSET('Smelter Look-up'!$C$4,$V90-4,0)&amp;"")</f>
        <v/>
      </c>
      <c r="S90" s="225" t="str">
        <f t="shared" ca="1" si="12"/>
        <v>US</v>
      </c>
      <c r="T90" s="225" t="str">
        <f ca="1">IF(B90="","",IF(ISERROR(MATCH($J90,SorP!$B$1:$B$6230,0)),"",INDIRECT("'SorP'!$A$"&amp;MATCH($J90,SorP!$B$1:$B$6230,0))))</f>
        <v/>
      </c>
      <c r="U90" s="241"/>
      <c r="V90" s="275">
        <f>IF(C90="",NA(),MATCH($B90&amp;$C90,'Smelter Look-up'!$J:$J,0))</f>
        <v>293</v>
      </c>
      <c r="W90" s="276"/>
      <c r="X90" s="276">
        <f t="shared" si="13"/>
        <v>0</v>
      </c>
      <c r="Y90" s="276"/>
      <c r="Z90" s="276"/>
      <c r="AB90" s="278" t="str">
        <f t="shared" si="14"/>
        <v>GoldSmelter not listed</v>
      </c>
    </row>
    <row r="91" spans="1:28" s="277" customFormat="1" ht="40.5">
      <c r="A91" s="216"/>
      <c r="B91" s="217" t="s">
        <v>1154</v>
      </c>
      <c r="C91" s="221" t="s">
        <v>865</v>
      </c>
      <c r="D91" s="283" t="s">
        <v>865</v>
      </c>
      <c r="E91" s="217" t="s">
        <v>2574</v>
      </c>
      <c r="F91" s="217" t="s">
        <v>784</v>
      </c>
      <c r="G91" s="217" t="s">
        <v>15513</v>
      </c>
      <c r="H91" s="218">
        <f ca="1">IF(ISERROR($V91),"",OFFSET('Smelter Look-up'!$G$4,$V91-4,0))</f>
        <v>0</v>
      </c>
      <c r="I91" s="219" t="str">
        <f ca="1">IF(ISERROR($V91),"",OFFSET('Smelter Look-up'!$H$4,$V91-4,0))</f>
        <v>Oruro</v>
      </c>
      <c r="J91" s="219" t="str">
        <f ca="1">IF(ISERROR($V91),"",OFFSET('Smelter Look-up'!$I$4,$V91-4,0))</f>
        <v>Oruro</v>
      </c>
      <c r="K91" s="273"/>
      <c r="L91" s="273"/>
      <c r="M91" s="273"/>
      <c r="N91" s="273"/>
      <c r="O91" s="273"/>
      <c r="P91" s="220"/>
      <c r="Q91" s="274"/>
      <c r="R91" s="217" t="str">
        <f ca="1">IF(ISERROR($V91),"",OFFSET('Smelter Look-up'!$C$4,$V91-4,0)&amp;"")</f>
        <v>EM Vinto</v>
      </c>
      <c r="S91" s="225" t="str">
        <f t="shared" ca="1" si="12"/>
        <v>BO</v>
      </c>
      <c r="T91" s="225" t="str">
        <f ca="1">IF(B91="","",IF(ISERROR(MATCH($J91,SorP!$B$1:$B$6230,0)),"",INDIRECT("'SorP'!$A$"&amp;MATCH($J91,SorP!$B$1:$B$6230,0))))</f>
        <v>BO-O</v>
      </c>
      <c r="U91" s="241"/>
      <c r="V91" s="275">
        <f>IF(C91="",NA(),MATCH($B91&amp;$C91,'Smelter Look-up'!$J:$J,0))</f>
        <v>377</v>
      </c>
      <c r="W91" s="276"/>
      <c r="X91" s="276">
        <f t="shared" si="13"/>
        <v>0</v>
      </c>
      <c r="Y91" s="276"/>
      <c r="Z91" s="276"/>
      <c r="AB91" s="278" t="str">
        <f t="shared" si="14"/>
        <v>TinEM Vinto</v>
      </c>
    </row>
    <row r="92" spans="1:28" s="277" customFormat="1" ht="67.5">
      <c r="A92" s="216"/>
      <c r="B92" s="217" t="s">
        <v>1153</v>
      </c>
      <c r="C92" s="221" t="s">
        <v>1898</v>
      </c>
      <c r="D92" s="283" t="s">
        <v>15573</v>
      </c>
      <c r="E92" s="217" t="s">
        <v>1129</v>
      </c>
      <c r="F92" s="217" t="s">
        <v>14250</v>
      </c>
      <c r="G92" s="217" t="s">
        <v>14250</v>
      </c>
      <c r="H92" s="218" t="s">
        <v>15574</v>
      </c>
      <c r="I92" s="219" t="s">
        <v>14250</v>
      </c>
      <c r="J92" s="219" t="s">
        <v>14250</v>
      </c>
      <c r="K92" s="273" t="s">
        <v>15575</v>
      </c>
      <c r="L92" s="273" t="s">
        <v>15576</v>
      </c>
      <c r="M92" s="273"/>
      <c r="N92" s="273"/>
      <c r="O92" s="273" t="s">
        <v>15521</v>
      </c>
      <c r="P92" s="220"/>
      <c r="Q92" s="274"/>
      <c r="R92" s="217" t="str">
        <f ca="1">IF(ISERROR($V92),"",OFFSET('Smelter Look-up'!$C$4,$V92-4,0)&amp;"")</f>
        <v/>
      </c>
      <c r="S92" s="225" t="str">
        <f t="shared" ca="1" si="12"/>
        <v>IN</v>
      </c>
      <c r="T92" s="225" t="str">
        <f ca="1">IF(B92="","",IF(ISERROR(MATCH($J92,SorP!$B$1:$B$6230,0)),"",INDIRECT("'SorP'!$A$"&amp;MATCH($J92,SorP!$B$1:$B$6230,0))))</f>
        <v/>
      </c>
      <c r="U92" s="241"/>
      <c r="V92" s="275">
        <f>IF(C92="",NA(),MATCH($B92&amp;$C92,'Smelter Look-up'!$J:$J,0))</f>
        <v>293</v>
      </c>
      <c r="W92" s="276"/>
      <c r="X92" s="276">
        <f t="shared" si="13"/>
        <v>0</v>
      </c>
      <c r="Y92" s="276"/>
      <c r="Z92" s="276"/>
      <c r="AB92" s="278" t="str">
        <f t="shared" si="14"/>
        <v>GoldSmelter not listed</v>
      </c>
    </row>
    <row r="93" spans="1:28" s="277" customFormat="1" ht="67.5">
      <c r="A93" s="216"/>
      <c r="B93" s="217" t="s">
        <v>1153</v>
      </c>
      <c r="C93" s="221" t="s">
        <v>1898</v>
      </c>
      <c r="D93" s="283" t="s">
        <v>15577</v>
      </c>
      <c r="E93" s="217" t="s">
        <v>1129</v>
      </c>
      <c r="F93" s="217" t="s">
        <v>14250</v>
      </c>
      <c r="G93" s="217" t="s">
        <v>14250</v>
      </c>
      <c r="H93" s="218" t="s">
        <v>15574</v>
      </c>
      <c r="I93" s="219" t="s">
        <v>14250</v>
      </c>
      <c r="J93" s="219" t="s">
        <v>14250</v>
      </c>
      <c r="K93" s="273" t="s">
        <v>15575</v>
      </c>
      <c r="L93" s="273" t="s">
        <v>15576</v>
      </c>
      <c r="M93" s="273"/>
      <c r="N93" s="273"/>
      <c r="O93" s="273" t="s">
        <v>15521</v>
      </c>
      <c r="P93" s="220"/>
      <c r="Q93" s="274"/>
      <c r="R93" s="217" t="str">
        <f ca="1">IF(ISERROR($V93),"",OFFSET('Smelter Look-up'!$C$4,$V93-4,0)&amp;"")</f>
        <v/>
      </c>
      <c r="S93" s="225" t="str">
        <f t="shared" ca="1" si="12"/>
        <v>IN</v>
      </c>
      <c r="T93" s="225" t="str">
        <f ca="1">IF(B93="","",IF(ISERROR(MATCH($J93,SorP!$B$1:$B$6230,0)),"",INDIRECT("'SorP'!$A$"&amp;MATCH($J93,SorP!$B$1:$B$6230,0))))</f>
        <v/>
      </c>
      <c r="U93" s="241"/>
      <c r="V93" s="275">
        <f>IF(C93="",NA(),MATCH($B93&amp;$C93,'Smelter Look-up'!$J:$J,0))</f>
        <v>293</v>
      </c>
      <c r="W93" s="276"/>
      <c r="X93" s="276">
        <f t="shared" si="13"/>
        <v>0</v>
      </c>
      <c r="Y93" s="276"/>
      <c r="Z93" s="276"/>
      <c r="AB93" s="278" t="str">
        <f t="shared" si="14"/>
        <v>GoldSmelter not listed</v>
      </c>
    </row>
    <row r="94" spans="1:28" s="277" customFormat="1" ht="67.5">
      <c r="A94" s="216"/>
      <c r="B94" s="217" t="s">
        <v>1153</v>
      </c>
      <c r="C94" s="221" t="s">
        <v>1898</v>
      </c>
      <c r="D94" s="283" t="s">
        <v>15578</v>
      </c>
      <c r="E94" s="217" t="s">
        <v>1129</v>
      </c>
      <c r="F94" s="217" t="s">
        <v>14250</v>
      </c>
      <c r="G94" s="217" t="s">
        <v>14250</v>
      </c>
      <c r="H94" s="218" t="s">
        <v>15574</v>
      </c>
      <c r="I94" s="219" t="s">
        <v>14250</v>
      </c>
      <c r="J94" s="219" t="s">
        <v>14250</v>
      </c>
      <c r="K94" s="273" t="s">
        <v>15575</v>
      </c>
      <c r="L94" s="273" t="s">
        <v>15576</v>
      </c>
      <c r="M94" s="273"/>
      <c r="N94" s="273"/>
      <c r="O94" s="273" t="s">
        <v>15521</v>
      </c>
      <c r="P94" s="220"/>
      <c r="Q94" s="274"/>
      <c r="R94" s="217" t="str">
        <f ca="1">IF(ISERROR($V94),"",OFFSET('Smelter Look-up'!$C$4,$V94-4,0)&amp;"")</f>
        <v/>
      </c>
      <c r="S94" s="225" t="str">
        <f t="shared" ca="1" si="12"/>
        <v>IN</v>
      </c>
      <c r="T94" s="225" t="str">
        <f ca="1">IF(B94="","",IF(ISERROR(MATCH($J94,SorP!$B$1:$B$6230,0)),"",INDIRECT("'SorP'!$A$"&amp;MATCH($J94,SorP!$B$1:$B$6230,0))))</f>
        <v/>
      </c>
      <c r="U94" s="241"/>
      <c r="V94" s="275">
        <f>IF(C94="",NA(),MATCH($B94&amp;$C94,'Smelter Look-up'!$J:$J,0))</f>
        <v>293</v>
      </c>
      <c r="W94" s="276"/>
      <c r="X94" s="276">
        <f t="shared" si="13"/>
        <v>0</v>
      </c>
      <c r="Y94" s="276"/>
      <c r="Z94" s="276"/>
      <c r="AB94" s="278" t="str">
        <f t="shared" si="14"/>
        <v>GoldSmelter not listed</v>
      </c>
    </row>
    <row r="95" spans="1:28" s="277" customFormat="1" ht="67.5">
      <c r="A95" s="216"/>
      <c r="B95" s="217" t="s">
        <v>1153</v>
      </c>
      <c r="C95" s="221" t="s">
        <v>1898</v>
      </c>
      <c r="D95" s="283" t="s">
        <v>15579</v>
      </c>
      <c r="E95" s="217" t="s">
        <v>1129</v>
      </c>
      <c r="F95" s="217" t="s">
        <v>14250</v>
      </c>
      <c r="G95" s="217" t="s">
        <v>14250</v>
      </c>
      <c r="H95" s="218" t="s">
        <v>15574</v>
      </c>
      <c r="I95" s="219" t="s">
        <v>14250</v>
      </c>
      <c r="J95" s="219" t="s">
        <v>14250</v>
      </c>
      <c r="K95" s="273" t="s">
        <v>15575</v>
      </c>
      <c r="L95" s="273" t="s">
        <v>15576</v>
      </c>
      <c r="M95" s="273"/>
      <c r="N95" s="273"/>
      <c r="O95" s="273" t="s">
        <v>15521</v>
      </c>
      <c r="P95" s="220"/>
      <c r="Q95" s="274"/>
      <c r="R95" s="217" t="str">
        <f ca="1">IF(ISERROR($V95),"",OFFSET('Smelter Look-up'!$C$4,$V95-4,0)&amp;"")</f>
        <v/>
      </c>
      <c r="S95" s="225" t="str">
        <f t="shared" ca="1" si="12"/>
        <v>IN</v>
      </c>
      <c r="T95" s="225" t="str">
        <f ca="1">IF(B95="","",IF(ISERROR(MATCH($J95,SorP!$B$1:$B$6230,0)),"",INDIRECT("'SorP'!$A$"&amp;MATCH($J95,SorP!$B$1:$B$6230,0))))</f>
        <v/>
      </c>
      <c r="U95" s="241"/>
      <c r="V95" s="275">
        <f>IF(C95="",NA(),MATCH($B95&amp;$C95,'Smelter Look-up'!$J:$J,0))</f>
        <v>293</v>
      </c>
      <c r="W95" s="276"/>
      <c r="X95" s="276">
        <f t="shared" si="13"/>
        <v>0</v>
      </c>
      <c r="Y95" s="276"/>
      <c r="Z95" s="276"/>
      <c r="AB95" s="278" t="str">
        <f t="shared" si="14"/>
        <v>GoldSmelter not listed</v>
      </c>
    </row>
    <row r="96" spans="1:28" s="277" customFormat="1" ht="54">
      <c r="A96" s="216"/>
      <c r="B96" s="217" t="s">
        <v>1153</v>
      </c>
      <c r="C96" s="221" t="s">
        <v>1740</v>
      </c>
      <c r="D96" s="283" t="s">
        <v>1740</v>
      </c>
      <c r="E96" s="217" t="s">
        <v>1115</v>
      </c>
      <c r="F96" s="217" t="s">
        <v>1741</v>
      </c>
      <c r="G96" s="217" t="s">
        <v>15513</v>
      </c>
      <c r="H96" s="218">
        <f ca="1">IF(ISERROR($V96),"",OFFSET('Smelter Look-up'!$G$4,$V96-4,0))</f>
        <v>0</v>
      </c>
      <c r="I96" s="219" t="str">
        <f ca="1">IF(ISERROR($V96),"",OFFSET('Smelter Look-up'!$H$4,$V96-4,0))</f>
        <v>Dubai</v>
      </c>
      <c r="J96" s="219" t="str">
        <f ca="1">IF(ISERROR($V96),"",OFFSET('Smelter Look-up'!$I$4,$V96-4,0))</f>
        <v>Dubayy</v>
      </c>
      <c r="K96" s="273"/>
      <c r="L96" s="273"/>
      <c r="M96" s="273"/>
      <c r="N96" s="273"/>
      <c r="O96" s="273"/>
      <c r="P96" s="220"/>
      <c r="Q96" s="274"/>
      <c r="R96" s="217" t="str">
        <f ca="1">IF(ISERROR($V96),"",OFFSET('Smelter Look-up'!$C$4,$V96-4,0)&amp;"")</f>
        <v>Emirates Gold DMCC</v>
      </c>
      <c r="S96" s="225" t="str">
        <f t="shared" ca="1" si="12"/>
        <v>AE</v>
      </c>
      <c r="T96" s="225" t="str">
        <f ca="1">IF(B96="","",IF(ISERROR(MATCH($J96,SorP!$B$1:$B$6230,0)),"",INDIRECT("'SorP'!$A$"&amp;MATCH($J96,SorP!$B$1:$B$6230,0))))</f>
        <v>AE-DU</v>
      </c>
      <c r="U96" s="241"/>
      <c r="V96" s="275">
        <f>IF(C96="",NA(),MATCH($B96&amp;$C96,'Smelter Look-up'!$J:$J,0))</f>
        <v>73</v>
      </c>
      <c r="W96" s="276"/>
      <c r="X96" s="276">
        <f t="shared" si="13"/>
        <v>0</v>
      </c>
      <c r="Y96" s="276"/>
      <c r="Z96" s="276"/>
      <c r="AB96" s="278" t="str">
        <f t="shared" si="14"/>
        <v>GoldEmirates Gold DMCC</v>
      </c>
    </row>
    <row r="97" spans="1:28" s="277" customFormat="1" ht="54">
      <c r="A97" s="216"/>
      <c r="B97" s="217" t="s">
        <v>1154</v>
      </c>
      <c r="C97" s="221" t="s">
        <v>12753</v>
      </c>
      <c r="D97" s="283" t="s">
        <v>12753</v>
      </c>
      <c r="E97" s="217" t="s">
        <v>1119</v>
      </c>
      <c r="F97" s="217" t="s">
        <v>785</v>
      </c>
      <c r="G97" s="217" t="s">
        <v>13577</v>
      </c>
      <c r="H97" s="218">
        <f ca="1">IF(ISERROR($V97),"",OFFSET('Smelter Look-up'!$G$4,$V97-4,0))</f>
        <v>0</v>
      </c>
      <c r="I97" s="219" t="str">
        <f ca="1">IF(ISERROR($V97),"",OFFSET('Smelter Look-up'!$H$4,$V97-4,0))</f>
        <v>Ariquemes</v>
      </c>
      <c r="J97" s="219" t="str">
        <f ca="1">IF(ISERROR($V97),"",OFFSET('Smelter Look-up'!$I$4,$V97-4,0))</f>
        <v>Rondônia</v>
      </c>
      <c r="K97" s="273"/>
      <c r="L97" s="273"/>
      <c r="M97" s="273"/>
      <c r="N97" s="273"/>
      <c r="O97" s="273"/>
      <c r="P97" s="220"/>
      <c r="Q97" s="274"/>
      <c r="R97" s="217" t="str">
        <f ca="1">IF(ISERROR($V97),"",OFFSET('Smelter Look-up'!$C$4,$V97-4,0)&amp;"")</f>
        <v>Estanho de Rondonia S.A.</v>
      </c>
      <c r="S97" s="225" t="str">
        <f t="shared" ca="1" si="12"/>
        <v>BR</v>
      </c>
      <c r="T97" s="225" t="str">
        <f ca="1">IF(B97="","",IF(ISERROR(MATCH($J97,SorP!$B$1:$B$6230,0)),"",INDIRECT("'SorP'!$A$"&amp;MATCH($J97,SorP!$B$1:$B$6230,0))))</f>
        <v>BR-RO</v>
      </c>
      <c r="U97" s="241"/>
      <c r="V97" s="275">
        <f>IF(C97="",NA(),MATCH($B97&amp;$C97,'Smelter Look-up'!$J:$J,0))</f>
        <v>381</v>
      </c>
      <c r="W97" s="276"/>
      <c r="X97" s="276">
        <f t="shared" si="13"/>
        <v>0</v>
      </c>
      <c r="Y97" s="276"/>
      <c r="Z97" s="276"/>
      <c r="AB97" s="278" t="str">
        <f t="shared" si="14"/>
        <v>TinEstanho de Rondonia S.A.</v>
      </c>
    </row>
    <row r="98" spans="1:28" s="277" customFormat="1" ht="40.5">
      <c r="A98" s="216"/>
      <c r="B98" s="217" t="s">
        <v>1155</v>
      </c>
      <c r="C98" s="221" t="s">
        <v>1141</v>
      </c>
      <c r="D98" s="283" t="s">
        <v>1141</v>
      </c>
      <c r="E98" s="217" t="s">
        <v>2576</v>
      </c>
      <c r="F98" s="217" t="s">
        <v>765</v>
      </c>
      <c r="G98" s="217" t="s">
        <v>15513</v>
      </c>
      <c r="H98" s="218">
        <f ca="1">IF(ISERROR($V98),"",OFFSET('Smelter Look-up'!$G$4,$V98-4,0))</f>
        <v>0</v>
      </c>
      <c r="I98" s="219" t="str">
        <f ca="1">IF(ISERROR($V98),"",OFFSET('Smelter Look-up'!$H$4,$V98-4,0))</f>
        <v>Pompano Beach</v>
      </c>
      <c r="J98" s="219" t="str">
        <f ca="1">IF(ISERROR($V98),"",OFFSET('Smelter Look-up'!$I$4,$V98-4,0))</f>
        <v>Florida</v>
      </c>
      <c r="K98" s="273"/>
      <c r="L98" s="273"/>
      <c r="M98" s="273"/>
      <c r="N98" s="273"/>
      <c r="O98" s="273"/>
      <c r="P98" s="220"/>
      <c r="Q98" s="274"/>
      <c r="R98" s="217" t="str">
        <f ca="1">IF(ISERROR($V98),"",OFFSET('Smelter Look-up'!$C$4,$V98-4,0)&amp;"")</f>
        <v>Exotech Inc.</v>
      </c>
      <c r="S98" s="225" t="str">
        <f t="shared" ca="1" si="12"/>
        <v>US</v>
      </c>
      <c r="T98" s="225" t="str">
        <f ca="1">IF(B98="","",IF(ISERROR(MATCH($J98,SorP!$B$1:$B$6230,0)),"",INDIRECT("'SorP'!$A$"&amp;MATCH($J98,SorP!$B$1:$B$6230,0))))</f>
        <v>US-FL</v>
      </c>
      <c r="U98" s="241"/>
      <c r="V98" s="275">
        <f>IF(C98="",NA(),MATCH($B98&amp;$C98,'Smelter Look-up'!$J:$J,0))</f>
        <v>300</v>
      </c>
      <c r="W98" s="276"/>
      <c r="X98" s="276">
        <f t="shared" si="13"/>
        <v>0</v>
      </c>
      <c r="Y98" s="276"/>
      <c r="Z98" s="276"/>
      <c r="AB98" s="278" t="str">
        <f t="shared" si="14"/>
        <v>TantalumExotech Inc.</v>
      </c>
    </row>
    <row r="99" spans="1:28" s="277" customFormat="1" ht="67.5">
      <c r="A99" s="216"/>
      <c r="B99" s="217" t="s">
        <v>1155</v>
      </c>
      <c r="C99" s="221" t="s">
        <v>47</v>
      </c>
      <c r="D99" s="283" t="s">
        <v>47</v>
      </c>
      <c r="E99" s="217" t="s">
        <v>1123</v>
      </c>
      <c r="F99" s="217" t="s">
        <v>766</v>
      </c>
      <c r="G99" s="217" t="s">
        <v>15513</v>
      </c>
      <c r="H99" s="218">
        <f ca="1">IF(ISERROR($V99),"",OFFSET('Smelter Look-up'!$G$4,$V99-4,0))</f>
        <v>0</v>
      </c>
      <c r="I99" s="219" t="str">
        <f ca="1">IF(ISERROR($V99),"",OFFSET('Smelter Look-up'!$H$4,$V99-4,0))</f>
        <v>Jiangmen</v>
      </c>
      <c r="J99" s="219" t="str">
        <f ca="1">IF(ISERROR($V99),"",OFFSET('Smelter Look-up'!$I$4,$V99-4,0))</f>
        <v>Guangdong Sheng</v>
      </c>
      <c r="K99" s="273"/>
      <c r="L99" s="273"/>
      <c r="M99" s="273"/>
      <c r="N99" s="273"/>
      <c r="O99" s="273"/>
      <c r="P99" s="220"/>
      <c r="Q99" s="274"/>
      <c r="R99" s="217" t="str">
        <f ca="1">IF(ISERROR($V99),"",OFFSET('Smelter Look-up'!$C$4,$V99-4,0)&amp;"")</f>
        <v>F&amp;X Electro-Materials Ltd.</v>
      </c>
      <c r="S99" s="225" t="str">
        <f t="shared" ca="1" si="12"/>
        <v>CN</v>
      </c>
      <c r="T99" s="225" t="str">
        <f ca="1">IF(B99="","",IF(ISERROR(MATCH($J99,SorP!$B$1:$B$6230,0)),"",INDIRECT("'SorP'!$A$"&amp;MATCH($J99,SorP!$B$1:$B$6230,0))))</f>
        <v>CN-GD</v>
      </c>
      <c r="U99" s="241"/>
      <c r="V99" s="275">
        <f>IF(C99="",NA(),MATCH($B99&amp;$C99,'Smelter Look-up'!$J:$J,0))</f>
        <v>302</v>
      </c>
      <c r="W99" s="276"/>
      <c r="X99" s="276">
        <f t="shared" si="13"/>
        <v>0</v>
      </c>
      <c r="Y99" s="276"/>
      <c r="Z99" s="276"/>
      <c r="AB99" s="278" t="str">
        <f t="shared" si="14"/>
        <v>TantalumF&amp;X Electro-Materials Ltd.</v>
      </c>
    </row>
    <row r="100" spans="1:28" s="277" customFormat="1" ht="27">
      <c r="A100" s="216"/>
      <c r="B100" s="217" t="s">
        <v>1154</v>
      </c>
      <c r="C100" s="221" t="s">
        <v>836</v>
      </c>
      <c r="D100" s="283" t="s">
        <v>836</v>
      </c>
      <c r="E100" s="217" t="s">
        <v>905</v>
      </c>
      <c r="F100" s="217" t="s">
        <v>786</v>
      </c>
      <c r="G100" s="217" t="s">
        <v>15513</v>
      </c>
      <c r="H100" s="218">
        <f ca="1">IF(ISERROR($V100),"",OFFSET('Smelter Look-up'!$G$4,$V100-4,0))</f>
        <v>0</v>
      </c>
      <c r="I100" s="219" t="str">
        <f ca="1">IF(ISERROR($V100),"",OFFSET('Smelter Look-up'!$H$4,$V100-4,0))</f>
        <v>Chmielów</v>
      </c>
      <c r="J100" s="219" t="str">
        <f ca="1">IF(ISERROR($V100),"",OFFSET('Smelter Look-up'!$I$4,$V100-4,0))</f>
        <v>Podkarpackie</v>
      </c>
      <c r="K100" s="273"/>
      <c r="L100" s="273"/>
      <c r="M100" s="273"/>
      <c r="N100" s="273"/>
      <c r="O100" s="273"/>
      <c r="P100" s="220"/>
      <c r="Q100" s="274"/>
      <c r="R100" s="217" t="str">
        <f ca="1">IF(ISERROR($V100),"",OFFSET('Smelter Look-up'!$C$4,$V100-4,0)&amp;"")</f>
        <v>Fenix Metals</v>
      </c>
      <c r="S100" s="225" t="str">
        <f t="shared" ca="1" si="12"/>
        <v>PL</v>
      </c>
      <c r="T100" s="225" t="str">
        <f ca="1">IF(B100="","",IF(ISERROR(MATCH($J100,SorP!$B$1:$B$6230,0)),"",INDIRECT("'SorP'!$A$"&amp;MATCH($J100,SorP!$B$1:$B$6230,0))))</f>
        <v>PL-18</v>
      </c>
      <c r="U100" s="241"/>
      <c r="V100" s="275">
        <f>IF(C100="",NA(),MATCH($B100&amp;$C100,'Smelter Look-up'!$J:$J,0))</f>
        <v>383</v>
      </c>
      <c r="W100" s="276"/>
      <c r="X100" s="276">
        <f t="shared" si="13"/>
        <v>0</v>
      </c>
      <c r="Y100" s="276"/>
      <c r="Z100" s="276"/>
      <c r="AB100" s="278" t="str">
        <f t="shared" si="14"/>
        <v>TinFenix Metals</v>
      </c>
    </row>
    <row r="101" spans="1:28" s="277" customFormat="1" ht="81">
      <c r="A101" s="216"/>
      <c r="B101" s="217" t="s">
        <v>1153</v>
      </c>
      <c r="C101" s="221" t="s">
        <v>1409</v>
      </c>
      <c r="D101" s="283" t="s">
        <v>1409</v>
      </c>
      <c r="E101" s="217" t="s">
        <v>918</v>
      </c>
      <c r="F101" s="217" t="s">
        <v>1410</v>
      </c>
      <c r="G101" s="217" t="s">
        <v>15513</v>
      </c>
      <c r="H101" s="218">
        <f ca="1">IF(ISERROR($V101),"",OFFSET('Smelter Look-up'!$G$4,$V101-4,0))</f>
        <v>0</v>
      </c>
      <c r="I101" s="219" t="str">
        <f ca="1">IF(ISERROR($V101),"",OFFSET('Smelter Look-up'!$H$4,$V101-4,0))</f>
        <v>Msasa</v>
      </c>
      <c r="J101" s="219" t="str">
        <f ca="1">IF(ISERROR($V101),"",OFFSET('Smelter Look-up'!$I$4,$V101-4,0))</f>
        <v>Harare</v>
      </c>
      <c r="K101" s="273"/>
      <c r="L101" s="273"/>
      <c r="M101" s="273"/>
      <c r="N101" s="273"/>
      <c r="O101" s="273"/>
      <c r="P101" s="220"/>
      <c r="Q101" s="274"/>
      <c r="R101" s="217" t="str">
        <f ca="1">IF(ISERROR($V101),"",OFFSET('Smelter Look-up'!$C$4,$V101-4,0)&amp;"")</f>
        <v>Fidelity Printers and Refiners Ltd.</v>
      </c>
      <c r="S101" s="225" t="str">
        <f t="shared" ca="1" si="12"/>
        <v>ZW</v>
      </c>
      <c r="T101" s="225" t="str">
        <f ca="1">IF(B101="","",IF(ISERROR(MATCH($J101,SorP!$B$1:$B$6230,0)),"",INDIRECT("'SorP'!$A$"&amp;MATCH($J101,SorP!$B$1:$B$6230,0))))</f>
        <v>ZW-HA</v>
      </c>
      <c r="U101" s="241"/>
      <c r="V101" s="275">
        <f>IF(C101="",NA(),MATCH($B101&amp;$C101,'Smelter Look-up'!$J:$J,0))</f>
        <v>75</v>
      </c>
      <c r="W101" s="276"/>
      <c r="X101" s="276">
        <f t="shared" si="13"/>
        <v>0</v>
      </c>
      <c r="Y101" s="276"/>
      <c r="Z101" s="276"/>
      <c r="AB101" s="278" t="str">
        <f t="shared" si="14"/>
        <v>GoldFidelity Printers and Refiners Ltd.</v>
      </c>
    </row>
    <row r="102" spans="1:28" s="277" customFormat="1" ht="67.5">
      <c r="A102" s="216"/>
      <c r="B102" s="217" t="s">
        <v>1155</v>
      </c>
      <c r="C102" s="221" t="s">
        <v>2275</v>
      </c>
      <c r="D102" s="283" t="s">
        <v>2275</v>
      </c>
      <c r="E102" s="217" t="s">
        <v>1123</v>
      </c>
      <c r="F102" s="217" t="s">
        <v>1420</v>
      </c>
      <c r="G102" s="217" t="s">
        <v>15513</v>
      </c>
      <c r="H102" s="218">
        <f ca="1">IF(ISERROR($V102),"",OFFSET('Smelter Look-up'!$G$4,$V102-4,0))</f>
        <v>0</v>
      </c>
      <c r="I102" s="219" t="str">
        <f ca="1">IF(ISERROR($V102),"",OFFSET('Smelter Look-up'!$H$4,$V102-4,0))</f>
        <v>Zhuzhou</v>
      </c>
      <c r="J102" s="219" t="str">
        <f ca="1">IF(ISERROR($V102),"",OFFSET('Smelter Look-up'!$I$4,$V102-4,0))</f>
        <v>Hunan Sheng</v>
      </c>
      <c r="K102" s="273"/>
      <c r="L102" s="273"/>
      <c r="M102" s="273"/>
      <c r="N102" s="273"/>
      <c r="O102" s="273"/>
      <c r="P102" s="220"/>
      <c r="Q102" s="274"/>
      <c r="R102" s="217" t="str">
        <f ca="1">IF(ISERROR($V102),"",OFFSET('Smelter Look-up'!$C$4,$V102-4,0)&amp;"")</f>
        <v>FIR Metals &amp; Resource Ltd.</v>
      </c>
      <c r="S102" s="225" t="str">
        <f t="shared" ref="S102:S132" ca="1" si="15">IF(B102="","",IF(ISERROR(MATCH($E102,CL,0)),"Unknown",INDIRECT("'C'!$A$"&amp;MATCH($E102,CL,0)+1)))</f>
        <v>CN</v>
      </c>
      <c r="T102" s="225" t="str">
        <f ca="1">IF(B102="","",IF(ISERROR(MATCH($J102,SorP!$B$1:$B$6230,0)),"",INDIRECT("'SorP'!$A$"&amp;MATCH($J102,SorP!$B$1:$B$6230,0))))</f>
        <v>CN-HN</v>
      </c>
      <c r="U102" s="241"/>
      <c r="V102" s="275">
        <f>IF(C102="",NA(),MATCH($B102&amp;$C102,'Smelter Look-up'!$J:$J,0))</f>
        <v>303</v>
      </c>
      <c r="W102" s="276"/>
      <c r="X102" s="276">
        <f t="shared" ref="X102:X132" si="16">IF(AND(C102="Smelter not listed",OR(LEN(D102)=0,LEN(E102)=0)),1,0)</f>
        <v>0</v>
      </c>
      <c r="Y102" s="276"/>
      <c r="Z102" s="276"/>
      <c r="AB102" s="278" t="str">
        <f t="shared" ref="AB102:AB132" si="17">B102&amp;C102</f>
        <v>TantalumFIR Metals &amp; Resource Ltd.</v>
      </c>
    </row>
    <row r="103" spans="1:28" s="277" customFormat="1" ht="54">
      <c r="A103" s="216"/>
      <c r="B103" s="217" t="s">
        <v>1153</v>
      </c>
      <c r="C103" s="221" t="s">
        <v>14136</v>
      </c>
      <c r="D103" s="283" t="s">
        <v>14136</v>
      </c>
      <c r="E103" s="217" t="s">
        <v>1115</v>
      </c>
      <c r="F103" s="217" t="s">
        <v>14137</v>
      </c>
      <c r="G103" s="217" t="s">
        <v>14250</v>
      </c>
      <c r="H103" s="218">
        <f ca="1">IF(ISERROR($V103),"",OFFSET('Smelter Look-up'!$G$4,$V103-4,0))</f>
        <v>0</v>
      </c>
      <c r="I103" s="219" t="str">
        <f ca="1">IF(ISERROR($V103),"",OFFSET('Smelter Look-up'!$H$4,$V103-4,0))</f>
        <v>Fujairah</v>
      </c>
      <c r="J103" s="219" t="str">
        <f ca="1">IF(ISERROR($V103),"",OFFSET('Smelter Look-up'!$I$4,$V103-4,0))</f>
        <v>Al Fujayrah</v>
      </c>
      <c r="K103" s="273"/>
      <c r="L103" s="273"/>
      <c r="M103" s="273"/>
      <c r="N103" s="273"/>
      <c r="O103" s="273"/>
      <c r="P103" s="220"/>
      <c r="Q103" s="274"/>
      <c r="R103" s="217" t="str">
        <f ca="1">IF(ISERROR($V103),"",OFFSET('Smelter Look-up'!$C$4,$V103-4,0)&amp;"")</f>
        <v>Fujairah Gold FZC</v>
      </c>
      <c r="S103" s="225" t="str">
        <f t="shared" ca="1" si="15"/>
        <v>AE</v>
      </c>
      <c r="T103" s="225" t="str">
        <f ca="1">IF(B103="","",IF(ISERROR(MATCH($J103,SorP!$B$1:$B$6230,0)),"",INDIRECT("'SorP'!$A$"&amp;MATCH($J103,SorP!$B$1:$B$6230,0))))</f>
        <v>AE-FU</v>
      </c>
      <c r="U103" s="241"/>
      <c r="V103" s="275">
        <f>IF(C103="",NA(),MATCH($B103&amp;$C103,'Smelter Look-up'!$J:$J,0))</f>
        <v>77</v>
      </c>
      <c r="W103" s="276"/>
      <c r="X103" s="276">
        <f t="shared" si="16"/>
        <v>0</v>
      </c>
      <c r="Y103" s="276"/>
      <c r="Z103" s="276"/>
      <c r="AB103" s="278" t="str">
        <f t="shared" si="17"/>
        <v>GoldFujairah Gold FZC</v>
      </c>
    </row>
    <row r="104" spans="1:28" s="277" customFormat="1" ht="40.5">
      <c r="A104" s="216"/>
      <c r="B104" s="217" t="s">
        <v>1154</v>
      </c>
      <c r="C104" s="221" t="s">
        <v>1898</v>
      </c>
      <c r="D104" s="283" t="s">
        <v>15580</v>
      </c>
      <c r="E104" s="217" t="s">
        <v>1131</v>
      </c>
      <c r="F104" s="217" t="s">
        <v>14250</v>
      </c>
      <c r="G104" s="217" t="s">
        <v>14250</v>
      </c>
      <c r="H104" s="218">
        <f ca="1">IF(ISERROR($V104),"",OFFSET('Smelter Look-up'!$G$4,$V104-4,0))</f>
        <v>0</v>
      </c>
      <c r="I104" s="219">
        <f ca="1">IF(ISERROR($V104),"",OFFSET('Smelter Look-up'!$H$4,$V104-4,0))</f>
        <v>0</v>
      </c>
      <c r="J104" s="219">
        <f ca="1">IF(ISERROR($V104),"",OFFSET('Smelter Look-up'!$I$4,$V104-4,0))</f>
        <v>0</v>
      </c>
      <c r="K104" s="273"/>
      <c r="L104" s="273"/>
      <c r="M104" s="273"/>
      <c r="N104" s="273"/>
      <c r="O104" s="273"/>
      <c r="P104" s="220"/>
      <c r="Q104" s="274"/>
      <c r="R104" s="217" t="str">
        <f ca="1">IF(ISERROR($V104),"",OFFSET('Smelter Look-up'!$C$4,$V104-4,0)&amp;"")</f>
        <v/>
      </c>
      <c r="S104" s="225" t="str">
        <f t="shared" ca="1" si="15"/>
        <v>JP</v>
      </c>
      <c r="T104" s="225" t="str">
        <f ca="1">IF(B104="","",IF(ISERROR(MATCH($J104,SorP!$B$1:$B$6230,0)),"",INDIRECT("'SorP'!$A$"&amp;MATCH($J104,SorP!$B$1:$B$6230,0))))</f>
        <v/>
      </c>
      <c r="U104" s="241"/>
      <c r="V104" s="275">
        <f>IF(C104="",NA(),MATCH($B104&amp;$C104,'Smelter Look-up'!$J:$J,0))</f>
        <v>484</v>
      </c>
      <c r="W104" s="276"/>
      <c r="X104" s="276">
        <f t="shared" si="16"/>
        <v>0</v>
      </c>
      <c r="Y104" s="276"/>
      <c r="Z104" s="276"/>
      <c r="AB104" s="278" t="str">
        <f t="shared" si="17"/>
        <v>TinSmelter not listed</v>
      </c>
    </row>
    <row r="105" spans="1:28" s="277" customFormat="1" ht="81">
      <c r="A105" s="216"/>
      <c r="B105" s="217" t="s">
        <v>1156</v>
      </c>
      <c r="C105" s="221" t="s">
        <v>14168</v>
      </c>
      <c r="D105" s="283" t="s">
        <v>14168</v>
      </c>
      <c r="E105" s="217" t="s">
        <v>1123</v>
      </c>
      <c r="F105" s="217" t="s">
        <v>14169</v>
      </c>
      <c r="G105" s="217" t="s">
        <v>14250</v>
      </c>
      <c r="H105" s="218">
        <f ca="1">IF(ISERROR($V105),"",OFFSET('Smelter Look-up'!$G$4,$V105-4,0))</f>
        <v>0</v>
      </c>
      <c r="I105" s="219" t="str">
        <f ca="1">IF(ISERROR($V105),"",OFFSET('Smelter Look-up'!$H$4,$V105-4,0))</f>
        <v>Longyan</v>
      </c>
      <c r="J105" s="219" t="str">
        <f ca="1">IF(ISERROR($V105),"",OFFSET('Smelter Look-up'!$I$4,$V105-4,0))</f>
        <v>Fujian Sheng</v>
      </c>
      <c r="K105" s="273"/>
      <c r="L105" s="273"/>
      <c r="M105" s="273"/>
      <c r="N105" s="273"/>
      <c r="O105" s="273"/>
      <c r="P105" s="220"/>
      <c r="Q105" s="274"/>
      <c r="R105" s="217" t="str">
        <f ca="1">IF(ISERROR($V105),"",OFFSET('Smelter Look-up'!$C$4,$V105-4,0)&amp;"")</f>
        <v>Fujian Ganmin RareMetal Co., Ltd.</v>
      </c>
      <c r="S105" s="225" t="str">
        <f t="shared" ca="1" si="15"/>
        <v>CN</v>
      </c>
      <c r="T105" s="225" t="str">
        <f ca="1">IF(B105="","",IF(ISERROR(MATCH($J105,SorP!$B$1:$B$6230,0)),"",INDIRECT("'SorP'!$A$"&amp;MATCH($J105,SorP!$B$1:$B$6230,0))))</f>
        <v>CN-FJ</v>
      </c>
      <c r="U105" s="241"/>
      <c r="V105" s="275">
        <f>IF(C105="",NA(),MATCH($B105&amp;$C105,'Smelter Look-up'!$J:$J,0))</f>
        <v>505</v>
      </c>
      <c r="W105" s="276"/>
      <c r="X105" s="276">
        <f t="shared" si="16"/>
        <v>0</v>
      </c>
      <c r="Y105" s="276"/>
      <c r="Z105" s="276"/>
      <c r="AB105" s="278" t="str">
        <f t="shared" si="17"/>
        <v>TungstenFujian Ganmin RareMetal Co., Ltd.</v>
      </c>
    </row>
    <row r="106" spans="1:28" s="277" customFormat="1" ht="81">
      <c r="A106" s="216"/>
      <c r="B106" s="217" t="s">
        <v>1156</v>
      </c>
      <c r="C106" s="221" t="s">
        <v>837</v>
      </c>
      <c r="D106" s="283" t="s">
        <v>837</v>
      </c>
      <c r="E106" s="217" t="s">
        <v>1123</v>
      </c>
      <c r="F106" s="217" t="s">
        <v>814</v>
      </c>
      <c r="G106" s="217" t="s">
        <v>13577</v>
      </c>
      <c r="H106" s="218">
        <f ca="1">IF(ISERROR($V106),"",OFFSET('Smelter Look-up'!$G$4,$V106-4,0))</f>
        <v>0</v>
      </c>
      <c r="I106" s="219" t="str">
        <f ca="1">IF(ISERROR($V106),"",OFFSET('Smelter Look-up'!$H$4,$V106-4,0))</f>
        <v>Yanshi</v>
      </c>
      <c r="J106" s="219" t="str">
        <f ca="1">IF(ISERROR($V106),"",OFFSET('Smelter Look-up'!$I$4,$V106-4,0))</f>
        <v>Fujian Sheng</v>
      </c>
      <c r="K106" s="273"/>
      <c r="L106" s="273"/>
      <c r="M106" s="273"/>
      <c r="N106" s="273"/>
      <c r="O106" s="273"/>
      <c r="P106" s="220"/>
      <c r="Q106" s="274"/>
      <c r="R106" s="217" t="str">
        <f ca="1">IF(ISERROR($V106),"",OFFSET('Smelter Look-up'!$C$4,$V106-4,0)&amp;"")</f>
        <v>Fujian Jinxin Tungsten Co., Ltd.</v>
      </c>
      <c r="S106" s="225" t="str">
        <f t="shared" ca="1" si="15"/>
        <v>CN</v>
      </c>
      <c r="T106" s="225" t="str">
        <f ca="1">IF(B106="","",IF(ISERROR(MATCH($J106,SorP!$B$1:$B$6230,0)),"",INDIRECT("'SorP'!$A$"&amp;MATCH($J106,SorP!$B$1:$B$6230,0))))</f>
        <v>CN-FJ</v>
      </c>
      <c r="U106" s="241"/>
      <c r="V106" s="275">
        <f>IF(C106="",NA(),MATCH($B106&amp;$C106,'Smelter Look-up'!$J:$J,0))</f>
        <v>506</v>
      </c>
      <c r="W106" s="276"/>
      <c r="X106" s="276">
        <f t="shared" si="16"/>
        <v>0</v>
      </c>
      <c r="Y106" s="276"/>
      <c r="Z106" s="276"/>
      <c r="AB106" s="278" t="str">
        <f t="shared" si="17"/>
        <v>TungstenFujian Jinxin Tungsten Co., Ltd.</v>
      </c>
    </row>
    <row r="107" spans="1:28" s="277" customFormat="1" ht="81">
      <c r="A107" s="216"/>
      <c r="B107" s="217" t="s">
        <v>1156</v>
      </c>
      <c r="C107" s="221" t="s">
        <v>1898</v>
      </c>
      <c r="D107" s="283" t="s">
        <v>15581</v>
      </c>
      <c r="E107" s="217" t="s">
        <v>1123</v>
      </c>
      <c r="F107" s="217" t="s">
        <v>14250</v>
      </c>
      <c r="G107" s="217" t="s">
        <v>14250</v>
      </c>
      <c r="H107" s="218">
        <f ca="1">IF(ISERROR($V107),"",OFFSET('Smelter Look-up'!$G$4,$V107-4,0))</f>
        <v>0</v>
      </c>
      <c r="I107" s="219">
        <f ca="1">IF(ISERROR($V107),"",OFFSET('Smelter Look-up'!$H$4,$V107-4,0))</f>
        <v>0</v>
      </c>
      <c r="J107" s="219">
        <f ca="1">IF(ISERROR($V107),"",OFFSET('Smelter Look-up'!$I$4,$V107-4,0))</f>
        <v>0</v>
      </c>
      <c r="K107" s="273"/>
      <c r="L107" s="273"/>
      <c r="M107" s="273"/>
      <c r="N107" s="273"/>
      <c r="O107" s="273"/>
      <c r="P107" s="220"/>
      <c r="Q107" s="274" t="s">
        <v>15525</v>
      </c>
      <c r="R107" s="217" t="str">
        <f ca="1">IF(ISERROR($V107),"",OFFSET('Smelter Look-up'!$C$4,$V107-4,0)&amp;"")</f>
        <v/>
      </c>
      <c r="S107" s="225" t="str">
        <f t="shared" ca="1" si="15"/>
        <v>CN</v>
      </c>
      <c r="T107" s="225" t="str">
        <f ca="1">IF(B107="","",IF(ISERROR(MATCH($J107,SorP!$B$1:$B$6230,0)),"",INDIRECT("'SorP'!$A$"&amp;MATCH($J107,SorP!$B$1:$B$6230,0))))</f>
        <v/>
      </c>
      <c r="U107" s="241"/>
      <c r="V107" s="275">
        <f>IF(C107="",NA(),MATCH($B107&amp;$C107,'Smelter Look-up'!$J:$J,0))</f>
        <v>590</v>
      </c>
      <c r="W107" s="276"/>
      <c r="X107" s="276">
        <f t="shared" si="16"/>
        <v>0</v>
      </c>
      <c r="Y107" s="276"/>
      <c r="Z107" s="276"/>
      <c r="AB107" s="278" t="str">
        <f t="shared" si="17"/>
        <v>TungstenSmelter not listed</v>
      </c>
    </row>
    <row r="108" spans="1:28" s="277" customFormat="1" ht="108">
      <c r="A108" s="216"/>
      <c r="B108" s="217" t="s">
        <v>1156</v>
      </c>
      <c r="C108" s="221" t="s">
        <v>13272</v>
      </c>
      <c r="D108" s="283" t="s">
        <v>13272</v>
      </c>
      <c r="E108" s="217" t="s">
        <v>1123</v>
      </c>
      <c r="F108" s="217" t="s">
        <v>2684</v>
      </c>
      <c r="G108" s="217" t="s">
        <v>15513</v>
      </c>
      <c r="H108" s="218">
        <f ca="1">IF(ISERROR($V108),"",OFFSET('Smelter Look-up'!$G$4,$V108-4,0))</f>
        <v>0</v>
      </c>
      <c r="I108" s="219" t="str">
        <f ca="1">IF(ISERROR($V108),"",OFFSET('Smelter Look-up'!$H$4,$V108-4,0))</f>
        <v>Ganzhou</v>
      </c>
      <c r="J108" s="219" t="str">
        <f ca="1">IF(ISERROR($V108),"",OFFSET('Smelter Look-up'!$I$4,$V108-4,0))</f>
        <v>Jiangxi Sheng</v>
      </c>
      <c r="K108" s="273"/>
      <c r="L108" s="273"/>
      <c r="M108" s="273"/>
      <c r="N108" s="273"/>
      <c r="O108" s="273"/>
      <c r="P108" s="220"/>
      <c r="Q108" s="274"/>
      <c r="R108" s="217" t="str">
        <f ca="1">IF(ISERROR($V108),"",OFFSET('Smelter Look-up'!$C$4,$V108-4,0)&amp;"")</f>
        <v>Ganzhou Haichuang Tungsten Co., Ltd.</v>
      </c>
      <c r="S108" s="225" t="str">
        <f t="shared" ca="1" si="15"/>
        <v>CN</v>
      </c>
      <c r="T108" s="225" t="str">
        <f ca="1">IF(B108="","",IF(ISERROR(MATCH($J108,SorP!$B$1:$B$6230,0)),"",INDIRECT("'SorP'!$A$"&amp;MATCH($J108,SorP!$B$1:$B$6230,0))))</f>
        <v>CN-JX</v>
      </c>
      <c r="U108" s="241"/>
      <c r="V108" s="275">
        <f>IF(C108="",NA(),MATCH($B108&amp;$C108,'Smelter Look-up'!$J:$J,0))</f>
        <v>507</v>
      </c>
      <c r="W108" s="276"/>
      <c r="X108" s="276">
        <f t="shared" si="16"/>
        <v>0</v>
      </c>
      <c r="Y108" s="276"/>
      <c r="Z108" s="276"/>
      <c r="AB108" s="278" t="str">
        <f t="shared" si="17"/>
        <v>TungstenGanzhou Haichuang Tungsten Co., Ltd.</v>
      </c>
    </row>
    <row r="109" spans="1:28" s="277" customFormat="1" ht="108">
      <c r="A109" s="216"/>
      <c r="B109" s="217" t="s">
        <v>1156</v>
      </c>
      <c r="C109" s="221" t="s">
        <v>152</v>
      </c>
      <c r="D109" s="283" t="s">
        <v>152</v>
      </c>
      <c r="E109" s="217" t="s">
        <v>1123</v>
      </c>
      <c r="F109" s="217" t="s">
        <v>819</v>
      </c>
      <c r="G109" s="217" t="s">
        <v>15513</v>
      </c>
      <c r="H109" s="218">
        <f ca="1">IF(ISERROR($V109),"",OFFSET('Smelter Look-up'!$G$4,$V109-4,0))</f>
        <v>0</v>
      </c>
      <c r="I109" s="219" t="str">
        <f ca="1">IF(ISERROR($V109),"",OFFSET('Smelter Look-up'!$H$4,$V109-4,0))</f>
        <v>Ganzhou</v>
      </c>
      <c r="J109" s="219" t="str">
        <f ca="1">IF(ISERROR($V109),"",OFFSET('Smelter Look-up'!$I$4,$V109-4,0))</f>
        <v>Jiangxi Sheng</v>
      </c>
      <c r="K109" s="273"/>
      <c r="L109" s="273"/>
      <c r="M109" s="273"/>
      <c r="N109" s="273"/>
      <c r="O109" s="273"/>
      <c r="P109" s="220"/>
      <c r="Q109" s="274"/>
      <c r="R109" s="217" t="str">
        <f ca="1">IF(ISERROR($V109),"",OFFSET('Smelter Look-up'!$C$4,$V109-4,0)&amp;"")</f>
        <v>Ganzhou Huaxing Tungsten Products Co., Ltd.</v>
      </c>
      <c r="S109" s="225" t="str">
        <f t="shared" ca="1" si="15"/>
        <v>CN</v>
      </c>
      <c r="T109" s="225" t="str">
        <f ca="1">IF(B109="","",IF(ISERROR(MATCH($J109,SorP!$B$1:$B$6230,0)),"",INDIRECT("'SorP'!$A$"&amp;MATCH($J109,SorP!$B$1:$B$6230,0))))</f>
        <v>CN-JX</v>
      </c>
      <c r="U109" s="241"/>
      <c r="V109" s="275">
        <f>IF(C109="",NA(),MATCH($B109&amp;$C109,'Smelter Look-up'!$J:$J,0))</f>
        <v>508</v>
      </c>
      <c r="W109" s="276"/>
      <c r="X109" s="276">
        <f t="shared" si="16"/>
        <v>0</v>
      </c>
      <c r="Y109" s="276"/>
      <c r="Z109" s="276"/>
      <c r="AB109" s="278" t="str">
        <f t="shared" si="17"/>
        <v>TungstenGanzhou Huaxing Tungsten Products Co., Ltd.</v>
      </c>
    </row>
    <row r="110" spans="1:28" s="277" customFormat="1" ht="94.5">
      <c r="A110" s="216"/>
      <c r="B110" s="217" t="s">
        <v>1156</v>
      </c>
      <c r="C110" s="221" t="s">
        <v>154</v>
      </c>
      <c r="D110" s="283" t="s">
        <v>154</v>
      </c>
      <c r="E110" s="217" t="s">
        <v>1123</v>
      </c>
      <c r="F110" s="217" t="s">
        <v>143</v>
      </c>
      <c r="G110" s="217" t="s">
        <v>15513</v>
      </c>
      <c r="H110" s="218">
        <f ca="1">IF(ISERROR($V110),"",OFFSET('Smelter Look-up'!$G$4,$V110-4,0))</f>
        <v>0</v>
      </c>
      <c r="I110" s="219" t="str">
        <f ca="1">IF(ISERROR($V110),"",OFFSET('Smelter Look-up'!$H$4,$V110-4,0))</f>
        <v>Ganzhou</v>
      </c>
      <c r="J110" s="219" t="str">
        <f ca="1">IF(ISERROR($V110),"",OFFSET('Smelter Look-up'!$I$4,$V110-4,0))</f>
        <v>Jiangxi Sheng</v>
      </c>
      <c r="K110" s="273"/>
      <c r="L110" s="273"/>
      <c r="M110" s="273"/>
      <c r="N110" s="273"/>
      <c r="O110" s="273"/>
      <c r="P110" s="220"/>
      <c r="Q110" s="274"/>
      <c r="R110" s="217" t="str">
        <f ca="1">IF(ISERROR($V110),"",OFFSET('Smelter Look-up'!$C$4,$V110-4,0)&amp;"")</f>
        <v>Ganzhou Jiangwu Ferrotungsten Co., Ltd.</v>
      </c>
      <c r="S110" s="225" t="str">
        <f t="shared" ca="1" si="15"/>
        <v>CN</v>
      </c>
      <c r="T110" s="225" t="str">
        <f ca="1">IF(B110="","",IF(ISERROR(MATCH($J110,SorP!$B$1:$B$6230,0)),"",INDIRECT("'SorP'!$A$"&amp;MATCH($J110,SorP!$B$1:$B$6230,0))))</f>
        <v>CN-JX</v>
      </c>
      <c r="U110" s="241"/>
      <c r="V110" s="275">
        <f>IF(C110="",NA(),MATCH($B110&amp;$C110,'Smelter Look-up'!$J:$J,0))</f>
        <v>509</v>
      </c>
      <c r="W110" s="276"/>
      <c r="X110" s="276">
        <f t="shared" si="16"/>
        <v>0</v>
      </c>
      <c r="Y110" s="276"/>
      <c r="Z110" s="276"/>
      <c r="AB110" s="278" t="str">
        <f t="shared" si="17"/>
        <v>TungstenGanzhou Jiangwu Ferrotungsten Co., Ltd.</v>
      </c>
    </row>
    <row r="111" spans="1:28" s="277" customFormat="1" ht="94.5">
      <c r="A111" s="216"/>
      <c r="B111" s="217" t="s">
        <v>1156</v>
      </c>
      <c r="C111" s="221" t="s">
        <v>402</v>
      </c>
      <c r="D111" s="283" t="s">
        <v>402</v>
      </c>
      <c r="E111" s="217" t="s">
        <v>1123</v>
      </c>
      <c r="F111" s="217" t="s">
        <v>403</v>
      </c>
      <c r="G111" s="217" t="s">
        <v>15513</v>
      </c>
      <c r="H111" s="218">
        <f ca="1">IF(ISERROR($V111),"",OFFSET('Smelter Look-up'!$G$4,$V111-4,0))</f>
        <v>0</v>
      </c>
      <c r="I111" s="219" t="str">
        <f ca="1">IF(ISERROR($V111),"",OFFSET('Smelter Look-up'!$H$4,$V111-4,0))</f>
        <v>Ganzhou</v>
      </c>
      <c r="J111" s="219" t="str">
        <f ca="1">IF(ISERROR($V111),"",OFFSET('Smelter Look-up'!$I$4,$V111-4,0))</f>
        <v>Jiangxi Sheng</v>
      </c>
      <c r="K111" s="273"/>
      <c r="L111" s="273"/>
      <c r="M111" s="273"/>
      <c r="N111" s="273"/>
      <c r="O111" s="273"/>
      <c r="P111" s="220"/>
      <c r="Q111" s="274"/>
      <c r="R111" s="217" t="str">
        <f ca="1">IF(ISERROR($V111),"",OFFSET('Smelter Look-up'!$C$4,$V111-4,0)&amp;"")</f>
        <v>Ganzhou Seadragon W &amp; Mo Co., Ltd.</v>
      </c>
      <c r="S111" s="225" t="str">
        <f t="shared" ca="1" si="15"/>
        <v>CN</v>
      </c>
      <c r="T111" s="225" t="str">
        <f ca="1">IF(B111="","",IF(ISERROR(MATCH($J111,SorP!$B$1:$B$6230,0)),"",INDIRECT("'SorP'!$A$"&amp;MATCH($J111,SorP!$B$1:$B$6230,0))))</f>
        <v>CN-JX</v>
      </c>
      <c r="U111" s="241"/>
      <c r="V111" s="275">
        <f>IF(C111="",NA(),MATCH($B111&amp;$C111,'Smelter Look-up'!$J:$J,0))</f>
        <v>510</v>
      </c>
      <c r="W111" s="276"/>
      <c r="X111" s="276">
        <f t="shared" si="16"/>
        <v>0</v>
      </c>
      <c r="Y111" s="276"/>
      <c r="Z111" s="276"/>
      <c r="AB111" s="278" t="str">
        <f t="shared" si="17"/>
        <v>TungstenGanzhou Seadragon W &amp; Mo Co., Ltd.</v>
      </c>
    </row>
    <row r="112" spans="1:28" s="277" customFormat="1" ht="54">
      <c r="A112" s="216"/>
      <c r="B112" s="217" t="s">
        <v>1156</v>
      </c>
      <c r="C112" s="221" t="s">
        <v>1898</v>
      </c>
      <c r="D112" s="283" t="s">
        <v>15582</v>
      </c>
      <c r="E112" s="217" t="s">
        <v>1123</v>
      </c>
      <c r="F112" s="217" t="s">
        <v>15583</v>
      </c>
      <c r="G112" s="217" t="s">
        <v>15513</v>
      </c>
      <c r="H112" s="218">
        <f ca="1">IF(ISERROR($V112),"",OFFSET('Smelter Look-up'!$G$4,$V112-4,0))</f>
        <v>0</v>
      </c>
      <c r="I112" s="219">
        <f ca="1">IF(ISERROR($V112),"",OFFSET('Smelter Look-up'!$H$4,$V112-4,0))</f>
        <v>0</v>
      </c>
      <c r="J112" s="219">
        <f ca="1">IF(ISERROR($V112),"",OFFSET('Smelter Look-up'!$I$4,$V112-4,0))</f>
        <v>0</v>
      </c>
      <c r="K112" s="273"/>
      <c r="L112" s="273"/>
      <c r="M112" s="273"/>
      <c r="N112" s="273"/>
      <c r="O112" s="273"/>
      <c r="P112" s="220"/>
      <c r="Q112" s="274"/>
      <c r="R112" s="217" t="str">
        <f ca="1">IF(ISERROR($V112),"",OFFSET('Smelter Look-up'!$C$4,$V112-4,0)&amp;"")</f>
        <v/>
      </c>
      <c r="S112" s="225" t="str">
        <f t="shared" ca="1" si="15"/>
        <v>CN</v>
      </c>
      <c r="T112" s="225" t="str">
        <f ca="1">IF(B112="","",IF(ISERROR(MATCH($J112,SorP!$B$1:$B$6230,0)),"",INDIRECT("'SorP'!$A$"&amp;MATCH($J112,SorP!$B$1:$B$6230,0))))</f>
        <v/>
      </c>
      <c r="U112" s="241"/>
      <c r="V112" s="275">
        <f>IF(C112="",NA(),MATCH($B112&amp;$C112,'Smelter Look-up'!$J:$J,0))</f>
        <v>590</v>
      </c>
      <c r="W112" s="276"/>
      <c r="X112" s="276">
        <f t="shared" si="16"/>
        <v>0</v>
      </c>
      <c r="Y112" s="276"/>
      <c r="Z112" s="276"/>
      <c r="AB112" s="278" t="str">
        <f t="shared" si="17"/>
        <v>TungstenSmelter not listed</v>
      </c>
    </row>
    <row r="113" spans="1:28" s="277" customFormat="1" ht="67.5">
      <c r="A113" s="216"/>
      <c r="B113" s="217" t="s">
        <v>1153</v>
      </c>
      <c r="C113" s="221" t="s">
        <v>2643</v>
      </c>
      <c r="D113" s="283" t="s">
        <v>2643</v>
      </c>
      <c r="E113" s="217" t="s">
        <v>1129</v>
      </c>
      <c r="F113" s="217" t="s">
        <v>2421</v>
      </c>
      <c r="G113" s="217" t="s">
        <v>15513</v>
      </c>
      <c r="H113" s="218">
        <f ca="1">IF(ISERROR($V113),"",OFFSET('Smelter Look-up'!$G$4,$V113-4,0))</f>
        <v>0</v>
      </c>
      <c r="I113" s="219" t="str">
        <f ca="1">IF(ISERROR($V113),"",OFFSET('Smelter Look-up'!$H$4,$V113-4,0))</f>
        <v>Ahmedabad</v>
      </c>
      <c r="J113" s="219" t="str">
        <f ca="1">IF(ISERROR($V113),"",OFFSET('Smelter Look-up'!$I$4,$V113-4,0))</f>
        <v>Gujarat</v>
      </c>
      <c r="K113" s="273"/>
      <c r="L113" s="273"/>
      <c r="M113" s="273"/>
      <c r="N113" s="273"/>
      <c r="O113" s="273"/>
      <c r="P113" s="220"/>
      <c r="Q113" s="274"/>
      <c r="R113" s="217" t="str">
        <f ca="1">IF(ISERROR($V113),"",OFFSET('Smelter Look-up'!$C$4,$V113-4,0)&amp;"")</f>
        <v>GCC Gujrat Gold Centre Pvt. Ltd.</v>
      </c>
      <c r="S113" s="225" t="str">
        <f t="shared" ca="1" si="15"/>
        <v>IN</v>
      </c>
      <c r="T113" s="225" t="str">
        <f ca="1">IF(B113="","",IF(ISERROR(MATCH($J113,SorP!$B$1:$B$6230,0)),"",INDIRECT("'SorP'!$A$"&amp;MATCH($J113,SorP!$B$1:$B$6230,0))))</f>
        <v>IN-GJ</v>
      </c>
      <c r="U113" s="241"/>
      <c r="V113" s="275">
        <f>IF(C113="",NA(),MATCH($B113&amp;$C113,'Smelter Look-up'!$J:$J,0))</f>
        <v>79</v>
      </c>
      <c r="W113" s="276"/>
      <c r="X113" s="276">
        <f t="shared" si="16"/>
        <v>0</v>
      </c>
      <c r="Y113" s="276"/>
      <c r="Z113" s="276"/>
      <c r="AB113" s="278" t="str">
        <f t="shared" si="17"/>
        <v>GoldGCC Gujrat Gold Centre Pvt. Ltd.</v>
      </c>
    </row>
    <row r="114" spans="1:28" s="277" customFormat="1" ht="67.5">
      <c r="A114" s="216"/>
      <c r="B114" s="217" t="s">
        <v>1153</v>
      </c>
      <c r="C114" s="221" t="s">
        <v>1727</v>
      </c>
      <c r="D114" s="283" t="s">
        <v>1727</v>
      </c>
      <c r="E114" s="217" t="s">
        <v>2576</v>
      </c>
      <c r="F114" s="217" t="s">
        <v>1728</v>
      </c>
      <c r="G114" s="217" t="s">
        <v>15513</v>
      </c>
      <c r="H114" s="218">
        <f ca="1">IF(ISERROR($V114),"",OFFSET('Smelter Look-up'!$G$4,$V114-4,0))</f>
        <v>0</v>
      </c>
      <c r="I114" s="219" t="str">
        <f ca="1">IF(ISERROR($V114),"",OFFSET('Smelter Look-up'!$H$4,$V114-4,0))</f>
        <v>Warwick</v>
      </c>
      <c r="J114" s="219" t="str">
        <f ca="1">IF(ISERROR($V114),"",OFFSET('Smelter Look-up'!$I$4,$V114-4,0))</f>
        <v>Rhode Island</v>
      </c>
      <c r="K114" s="273"/>
      <c r="L114" s="273"/>
      <c r="M114" s="273"/>
      <c r="N114" s="273"/>
      <c r="O114" s="273"/>
      <c r="P114" s="220"/>
      <c r="Q114" s="274"/>
      <c r="R114" s="217" t="str">
        <f ca="1">IF(ISERROR($V114),"",OFFSET('Smelter Look-up'!$C$4,$V114-4,0)&amp;"")</f>
        <v>Geib Refining Corporation</v>
      </c>
      <c r="S114" s="225" t="str">
        <f t="shared" ca="1" si="15"/>
        <v>US</v>
      </c>
      <c r="T114" s="225" t="str">
        <f ca="1">IF(B114="","",IF(ISERROR(MATCH($J114,SorP!$B$1:$B$6230,0)),"",INDIRECT("'SorP'!$A$"&amp;MATCH($J114,SorP!$B$1:$B$6230,0))))</f>
        <v>US-RI</v>
      </c>
      <c r="U114" s="241"/>
      <c r="V114" s="275">
        <f>IF(C114="",NA(),MATCH($B114&amp;$C114,'Smelter Look-up'!$J:$J,0))</f>
        <v>80</v>
      </c>
      <c r="W114" s="276"/>
      <c r="X114" s="276">
        <f t="shared" si="16"/>
        <v>0</v>
      </c>
      <c r="Y114" s="276"/>
      <c r="Z114" s="276"/>
      <c r="AB114" s="278" t="str">
        <f t="shared" si="17"/>
        <v>GoldGeib Refining Corporation</v>
      </c>
    </row>
    <row r="115" spans="1:28" s="277" customFormat="1" ht="94.5">
      <c r="A115" s="216"/>
      <c r="B115" s="217" t="s">
        <v>1154</v>
      </c>
      <c r="C115" s="221" t="s">
        <v>14223</v>
      </c>
      <c r="D115" s="283" t="s">
        <v>14223</v>
      </c>
      <c r="E115" s="217" t="s">
        <v>1123</v>
      </c>
      <c r="F115" s="217" t="s">
        <v>14150</v>
      </c>
      <c r="G115" s="217" t="s">
        <v>14250</v>
      </c>
      <c r="H115" s="218">
        <f ca="1">IF(ISERROR($V115),"",OFFSET('Smelter Look-up'!$G$4,$V115-4,0))</f>
        <v>0</v>
      </c>
      <c r="I115" s="219" t="str">
        <f ca="1">IF(ISERROR($V115),"",OFFSET('Smelter Look-up'!$H$4,$V115-4,0))</f>
        <v>Gejiu</v>
      </c>
      <c r="J115" s="219" t="str">
        <f ca="1">IF(ISERROR($V115),"",OFFSET('Smelter Look-up'!$I$4,$V115-4,0))</f>
        <v>Yunnan Sheng</v>
      </c>
      <c r="K115" s="273"/>
      <c r="L115" s="273"/>
      <c r="M115" s="273"/>
      <c r="N115" s="273"/>
      <c r="O115" s="273"/>
      <c r="P115" s="220"/>
      <c r="Q115" s="274"/>
      <c r="R115" s="217" t="str">
        <f ca="1">IF(ISERROR($V115),"",OFFSET('Smelter Look-up'!$C$4,$V115-4,0)&amp;"")</f>
        <v>Gejiu City Fuxiang Industry and Trade Co., Ltd.</v>
      </c>
      <c r="S115" s="225" t="str">
        <f t="shared" ca="1" si="15"/>
        <v>CN</v>
      </c>
      <c r="T115" s="225" t="str">
        <f ca="1">IF(B115="","",IF(ISERROR(MATCH($J115,SorP!$B$1:$B$6230,0)),"",INDIRECT("'SorP'!$A$"&amp;MATCH($J115,SorP!$B$1:$B$6230,0))))</f>
        <v>CN-YN</v>
      </c>
      <c r="U115" s="241"/>
      <c r="V115" s="275">
        <f>IF(C115="",NA(),MATCH($B115&amp;$C115,'Smelter Look-up'!$J:$J,0))</f>
        <v>386</v>
      </c>
      <c r="W115" s="276"/>
      <c r="X115" s="276">
        <f t="shared" si="16"/>
        <v>0</v>
      </c>
      <c r="Y115" s="276"/>
      <c r="Z115" s="276"/>
      <c r="AB115" s="278" t="str">
        <f t="shared" si="17"/>
        <v>TinGejiu City Fuxiang Industry and Trade Co., Ltd.</v>
      </c>
    </row>
    <row r="116" spans="1:28" s="277" customFormat="1" ht="40.5">
      <c r="A116" s="216"/>
      <c r="B116" s="217" t="s">
        <v>1154</v>
      </c>
      <c r="C116" s="221" t="s">
        <v>1898</v>
      </c>
      <c r="D116" s="283" t="s">
        <v>15584</v>
      </c>
      <c r="E116" s="217" t="s">
        <v>1123</v>
      </c>
      <c r="F116" s="217" t="s">
        <v>14250</v>
      </c>
      <c r="G116" s="217" t="s">
        <v>14250</v>
      </c>
      <c r="H116" s="218" t="s">
        <v>14250</v>
      </c>
      <c r="I116" s="219" t="s">
        <v>2590</v>
      </c>
      <c r="J116" s="219" t="s">
        <v>13975</v>
      </c>
      <c r="K116" s="273"/>
      <c r="L116" s="273"/>
      <c r="M116" s="273"/>
      <c r="N116" s="273"/>
      <c r="O116" s="273"/>
      <c r="P116" s="220"/>
      <c r="Q116" s="274"/>
      <c r="R116" s="217" t="str">
        <f ca="1">IF(ISERROR($V116),"",OFFSET('Smelter Look-up'!$C$4,$V116-4,0)&amp;"")</f>
        <v/>
      </c>
      <c r="S116" s="225" t="str">
        <f t="shared" ca="1" si="15"/>
        <v>CN</v>
      </c>
      <c r="T116" s="225" t="str">
        <f ca="1">IF(B116="","",IF(ISERROR(MATCH($J116,SorP!$B$1:$B$6230,0)),"",INDIRECT("'SorP'!$A$"&amp;MATCH($J116,SorP!$B$1:$B$6230,0))))</f>
        <v>CN-YN</v>
      </c>
      <c r="U116" s="241"/>
      <c r="V116" s="275">
        <f>IF(C116="",NA(),MATCH($B116&amp;$C116,'Smelter Look-up'!$J:$J,0))</f>
        <v>484</v>
      </c>
      <c r="W116" s="276"/>
      <c r="X116" s="276">
        <f t="shared" si="16"/>
        <v>0</v>
      </c>
      <c r="Y116" s="276"/>
      <c r="Z116" s="276"/>
      <c r="AB116" s="278" t="str">
        <f t="shared" si="17"/>
        <v>TinSmelter not listed</v>
      </c>
    </row>
    <row r="117" spans="1:28" s="277" customFormat="1" ht="40.5">
      <c r="A117" s="216"/>
      <c r="B117" s="217" t="s">
        <v>1154</v>
      </c>
      <c r="C117" s="221" t="s">
        <v>1898</v>
      </c>
      <c r="D117" s="283" t="s">
        <v>15585</v>
      </c>
      <c r="E117" s="217" t="s">
        <v>1123</v>
      </c>
      <c r="F117" s="217" t="s">
        <v>15586</v>
      </c>
      <c r="G117" s="217" t="s">
        <v>15513</v>
      </c>
      <c r="H117" s="218">
        <f ca="1">IF(ISERROR($V117),"",OFFSET('Smelter Look-up'!$G$4,$V117-4,0))</f>
        <v>0</v>
      </c>
      <c r="I117" s="219">
        <f ca="1">IF(ISERROR($V117),"",OFFSET('Smelter Look-up'!$H$4,$V117-4,0))</f>
        <v>0</v>
      </c>
      <c r="J117" s="219">
        <f ca="1">IF(ISERROR($V117),"",OFFSET('Smelter Look-up'!$I$4,$V117-4,0))</f>
        <v>0</v>
      </c>
      <c r="K117" s="273"/>
      <c r="L117" s="273"/>
      <c r="M117" s="273"/>
      <c r="N117" s="273"/>
      <c r="O117" s="273"/>
      <c r="P117" s="220"/>
      <c r="Q117" s="274"/>
      <c r="R117" s="217" t="str">
        <f ca="1">IF(ISERROR($V117),"",OFFSET('Smelter Look-up'!$C$4,$V117-4,0)&amp;"")</f>
        <v/>
      </c>
      <c r="S117" s="225" t="str">
        <f t="shared" ca="1" si="15"/>
        <v>CN</v>
      </c>
      <c r="T117" s="225" t="str">
        <f ca="1">IF(B117="","",IF(ISERROR(MATCH($J117,SorP!$B$1:$B$6230,0)),"",INDIRECT("'SorP'!$A$"&amp;MATCH($J117,SorP!$B$1:$B$6230,0))))</f>
        <v/>
      </c>
      <c r="U117" s="241"/>
      <c r="V117" s="275">
        <f>IF(C117="",NA(),MATCH($B117&amp;$C117,'Smelter Look-up'!$J:$J,0))</f>
        <v>484</v>
      </c>
      <c r="W117" s="276"/>
      <c r="X117" s="276">
        <f t="shared" si="16"/>
        <v>0</v>
      </c>
      <c r="Y117" s="276"/>
      <c r="Z117" s="276"/>
      <c r="AB117" s="278" t="str">
        <f t="shared" si="17"/>
        <v>TinSmelter not listed</v>
      </c>
    </row>
    <row r="118" spans="1:28" s="277" customFormat="1" ht="40.5">
      <c r="A118" s="216"/>
      <c r="B118" s="217" t="s">
        <v>1154</v>
      </c>
      <c r="C118" s="221" t="s">
        <v>1898</v>
      </c>
      <c r="D118" s="283" t="s">
        <v>15585</v>
      </c>
      <c r="E118" s="217" t="s">
        <v>1128</v>
      </c>
      <c r="F118" s="217" t="s">
        <v>14250</v>
      </c>
      <c r="G118" s="217" t="s">
        <v>14250</v>
      </c>
      <c r="H118" s="218" t="s">
        <v>14250</v>
      </c>
      <c r="I118" s="219" t="s">
        <v>2590</v>
      </c>
      <c r="J118" s="219" t="s">
        <v>13975</v>
      </c>
      <c r="K118" s="273"/>
      <c r="L118" s="273"/>
      <c r="M118" s="273"/>
      <c r="N118" s="273"/>
      <c r="O118" s="273"/>
      <c r="P118" s="220"/>
      <c r="Q118" s="274"/>
      <c r="R118" s="217" t="str">
        <f ca="1">IF(ISERROR($V118),"",OFFSET('Smelter Look-up'!$C$4,$V118-4,0)&amp;"")</f>
        <v/>
      </c>
      <c r="S118" s="225" t="str">
        <f t="shared" ca="1" si="15"/>
        <v>ID</v>
      </c>
      <c r="T118" s="225" t="str">
        <f ca="1">IF(B118="","",IF(ISERROR(MATCH($J118,SorP!$B$1:$B$6230,0)),"",INDIRECT("'SorP'!$A$"&amp;MATCH($J118,SorP!$B$1:$B$6230,0))))</f>
        <v>CN-YN</v>
      </c>
      <c r="U118" s="241"/>
      <c r="V118" s="275">
        <f>IF(C118="",NA(),MATCH($B118&amp;$C118,'Smelter Look-up'!$J:$J,0))</f>
        <v>484</v>
      </c>
      <c r="W118" s="276"/>
      <c r="X118" s="276">
        <f t="shared" si="16"/>
        <v>0</v>
      </c>
      <c r="Y118" s="276"/>
      <c r="Z118" s="276"/>
      <c r="AB118" s="278" t="str">
        <f t="shared" si="17"/>
        <v>TinSmelter not listed</v>
      </c>
    </row>
    <row r="119" spans="1:28" s="277" customFormat="1" ht="40.5">
      <c r="A119" s="216"/>
      <c r="B119" s="217" t="s">
        <v>1154</v>
      </c>
      <c r="C119" s="221" t="s">
        <v>1898</v>
      </c>
      <c r="D119" s="283" t="s">
        <v>15587</v>
      </c>
      <c r="E119" s="217" t="s">
        <v>1123</v>
      </c>
      <c r="F119" s="217" t="s">
        <v>15588</v>
      </c>
      <c r="G119" s="217" t="s">
        <v>15513</v>
      </c>
      <c r="H119" s="218">
        <f ca="1">IF(ISERROR($V119),"",OFFSET('Smelter Look-up'!$G$4,$V119-4,0))</f>
        <v>0</v>
      </c>
      <c r="I119" s="219">
        <f ca="1">IF(ISERROR($V119),"",OFFSET('Smelter Look-up'!$H$4,$V119-4,0))</f>
        <v>0</v>
      </c>
      <c r="J119" s="219">
        <f ca="1">IF(ISERROR($V119),"",OFFSET('Smelter Look-up'!$I$4,$V119-4,0))</f>
        <v>0</v>
      </c>
      <c r="K119" s="273"/>
      <c r="L119" s="273"/>
      <c r="M119" s="273"/>
      <c r="N119" s="273"/>
      <c r="O119" s="273"/>
      <c r="P119" s="220"/>
      <c r="Q119" s="274"/>
      <c r="R119" s="217" t="str">
        <f ca="1">IF(ISERROR($V119),"",OFFSET('Smelter Look-up'!$C$4,$V119-4,0)&amp;"")</f>
        <v/>
      </c>
      <c r="S119" s="225" t="str">
        <f t="shared" ca="1" si="15"/>
        <v>CN</v>
      </c>
      <c r="T119" s="225" t="str">
        <f ca="1">IF(B119="","",IF(ISERROR(MATCH($J119,SorP!$B$1:$B$6230,0)),"",INDIRECT("'SorP'!$A$"&amp;MATCH($J119,SorP!$B$1:$B$6230,0))))</f>
        <v/>
      </c>
      <c r="U119" s="241"/>
      <c r="V119" s="275">
        <f>IF(C119="",NA(),MATCH($B119&amp;$C119,'Smelter Look-up'!$J:$J,0))</f>
        <v>484</v>
      </c>
      <c r="W119" s="276"/>
      <c r="X119" s="276">
        <f t="shared" si="16"/>
        <v>0</v>
      </c>
      <c r="Y119" s="276"/>
      <c r="Z119" s="276"/>
      <c r="AB119" s="278" t="str">
        <f t="shared" si="17"/>
        <v>TinSmelter not listed</v>
      </c>
    </row>
    <row r="120" spans="1:28" s="277" customFormat="1" ht="94.5">
      <c r="A120" s="216"/>
      <c r="B120" s="217" t="s">
        <v>1154</v>
      </c>
      <c r="C120" s="221" t="s">
        <v>1450</v>
      </c>
      <c r="D120" s="283" t="s">
        <v>1450</v>
      </c>
      <c r="E120" s="217" t="s">
        <v>1123</v>
      </c>
      <c r="F120" s="217" t="s">
        <v>790</v>
      </c>
      <c r="G120" s="217" t="s">
        <v>15513</v>
      </c>
      <c r="H120" s="218">
        <f ca="1">IF(ISERROR($V120),"",OFFSET('Smelter Look-up'!$G$4,$V120-4,0))</f>
        <v>0</v>
      </c>
      <c r="I120" s="219" t="str">
        <f ca="1">IF(ISERROR($V120),"",OFFSET('Smelter Look-up'!$H$4,$V120-4,0))</f>
        <v>Gejiu</v>
      </c>
      <c r="J120" s="219" t="str">
        <f ca="1">IF(ISERROR($V120),"",OFFSET('Smelter Look-up'!$I$4,$V120-4,0))</f>
        <v>Yunnan Sheng</v>
      </c>
      <c r="K120" s="273"/>
      <c r="L120" s="273"/>
      <c r="M120" s="273"/>
      <c r="N120" s="273"/>
      <c r="O120" s="273"/>
      <c r="P120" s="220"/>
      <c r="Q120" s="274"/>
      <c r="R120" s="217" t="str">
        <f ca="1">IF(ISERROR($V120),"",OFFSET('Smelter Look-up'!$C$4,$V120-4,0)&amp;"")</f>
        <v>Gejiu Kai Meng Industry and Trade LLC</v>
      </c>
      <c r="S120" s="225" t="str">
        <f t="shared" ca="1" si="15"/>
        <v>CN</v>
      </c>
      <c r="T120" s="225" t="str">
        <f ca="1">IF(B120="","",IF(ISERROR(MATCH($J120,SorP!$B$1:$B$6230,0)),"",INDIRECT("'SorP'!$A$"&amp;MATCH($J120,SorP!$B$1:$B$6230,0))))</f>
        <v>CN-YN</v>
      </c>
      <c r="U120" s="241"/>
      <c r="V120" s="275">
        <f>IF(C120="",NA(),MATCH($B120&amp;$C120,'Smelter Look-up'!$J:$J,0))</f>
        <v>388</v>
      </c>
      <c r="W120" s="276"/>
      <c r="X120" s="276">
        <f t="shared" si="16"/>
        <v>0</v>
      </c>
      <c r="Y120" s="276"/>
      <c r="Z120" s="276"/>
      <c r="AB120" s="278" t="str">
        <f t="shared" si="17"/>
        <v>TinGejiu Kai Meng Industry and Trade LLC</v>
      </c>
    </row>
    <row r="121" spans="1:28" s="277" customFormat="1" ht="94.5">
      <c r="A121" s="216"/>
      <c r="B121" s="217" t="s">
        <v>1154</v>
      </c>
      <c r="C121" s="221" t="s">
        <v>2248</v>
      </c>
      <c r="D121" s="283" t="s">
        <v>2248</v>
      </c>
      <c r="E121" s="217" t="s">
        <v>1123</v>
      </c>
      <c r="F121" s="217" t="s">
        <v>787</v>
      </c>
      <c r="G121" s="217" t="s">
        <v>15513</v>
      </c>
      <c r="H121" s="218">
        <f ca="1">IF(ISERROR($V121),"",OFFSET('Smelter Look-up'!$G$4,$V121-4,0))</f>
        <v>0</v>
      </c>
      <c r="I121" s="219" t="str">
        <f ca="1">IF(ISERROR($V121),"",OFFSET('Smelter Look-up'!$H$4,$V121-4,0))</f>
        <v>Gejiu</v>
      </c>
      <c r="J121" s="219" t="str">
        <f ca="1">IF(ISERROR($V121),"",OFFSET('Smelter Look-up'!$I$4,$V121-4,0))</f>
        <v>Yunnan Sheng</v>
      </c>
      <c r="K121" s="273"/>
      <c r="L121" s="273"/>
      <c r="M121" s="273"/>
      <c r="N121" s="273"/>
      <c r="O121" s="273"/>
      <c r="P121" s="220"/>
      <c r="Q121" s="274"/>
      <c r="R121" s="217" t="str">
        <f ca="1">IF(ISERROR($V121),"",OFFSET('Smelter Look-up'!$C$4,$V121-4,0)&amp;"")</f>
        <v>Gejiu Non-Ferrous Metal Processing Co., Ltd.</v>
      </c>
      <c r="S121" s="225" t="str">
        <f t="shared" ca="1" si="15"/>
        <v>CN</v>
      </c>
      <c r="T121" s="225" t="str">
        <f ca="1">IF(B121="","",IF(ISERROR(MATCH($J121,SorP!$B$1:$B$6230,0)),"",INDIRECT("'SorP'!$A$"&amp;MATCH($J121,SorP!$B$1:$B$6230,0))))</f>
        <v>CN-YN</v>
      </c>
      <c r="U121" s="241"/>
      <c r="V121" s="275">
        <f>IF(C121="",NA(),MATCH($B121&amp;$C121,'Smelter Look-up'!$J:$J,0))</f>
        <v>389</v>
      </c>
      <c r="W121" s="276"/>
      <c r="X121" s="276">
        <f t="shared" si="16"/>
        <v>0</v>
      </c>
      <c r="Y121" s="276"/>
      <c r="Z121" s="276"/>
      <c r="AB121" s="278" t="str">
        <f t="shared" si="17"/>
        <v>TinGejiu Non-Ferrous Metal Processing Co., Ltd.</v>
      </c>
    </row>
    <row r="122" spans="1:28" s="277" customFormat="1" ht="40.5">
      <c r="A122" s="216"/>
      <c r="B122" s="217" t="s">
        <v>1154</v>
      </c>
      <c r="C122" s="221" t="s">
        <v>1898</v>
      </c>
      <c r="D122" s="283" t="s">
        <v>15589</v>
      </c>
      <c r="E122" s="217" t="s">
        <v>1123</v>
      </c>
      <c r="F122" s="217" t="s">
        <v>14250</v>
      </c>
      <c r="G122" s="217" t="s">
        <v>14250</v>
      </c>
      <c r="H122" s="218">
        <f ca="1">IF(ISERROR($V122),"",OFFSET('Smelter Look-up'!$G$4,$V122-4,0))</f>
        <v>0</v>
      </c>
      <c r="I122" s="219">
        <f ca="1">IF(ISERROR($V122),"",OFFSET('Smelter Look-up'!$H$4,$V122-4,0))</f>
        <v>0</v>
      </c>
      <c r="J122" s="219">
        <f ca="1">IF(ISERROR($V122),"",OFFSET('Smelter Look-up'!$I$4,$V122-4,0))</f>
        <v>0</v>
      </c>
      <c r="K122" s="273"/>
      <c r="L122" s="273"/>
      <c r="M122" s="273"/>
      <c r="N122" s="273"/>
      <c r="O122" s="273"/>
      <c r="P122" s="220"/>
      <c r="Q122" s="274"/>
      <c r="R122" s="217" t="str">
        <f ca="1">IF(ISERROR($V122),"",OFFSET('Smelter Look-up'!$C$4,$V122-4,0)&amp;"")</f>
        <v/>
      </c>
      <c r="S122" s="225" t="str">
        <f t="shared" ca="1" si="15"/>
        <v>CN</v>
      </c>
      <c r="T122" s="225" t="str">
        <f ca="1">IF(B122="","",IF(ISERROR(MATCH($J122,SorP!$B$1:$B$6230,0)),"",INDIRECT("'SorP'!$A$"&amp;MATCH($J122,SorP!$B$1:$B$6230,0))))</f>
        <v/>
      </c>
      <c r="U122" s="241"/>
      <c r="V122" s="275">
        <f>IF(C122="",NA(),MATCH($B122&amp;$C122,'Smelter Look-up'!$J:$J,0))</f>
        <v>484</v>
      </c>
      <c r="W122" s="276"/>
      <c r="X122" s="276">
        <f t="shared" si="16"/>
        <v>0</v>
      </c>
      <c r="Y122" s="276"/>
      <c r="Z122" s="276"/>
      <c r="AB122" s="278" t="str">
        <f t="shared" si="17"/>
        <v>TinSmelter not listed</v>
      </c>
    </row>
    <row r="123" spans="1:28" s="277" customFormat="1" ht="94.5">
      <c r="A123" s="216"/>
      <c r="B123" s="217" t="s">
        <v>1154</v>
      </c>
      <c r="C123" s="221" t="s">
        <v>1839</v>
      </c>
      <c r="D123" s="283" t="s">
        <v>1839</v>
      </c>
      <c r="E123" s="217" t="s">
        <v>1123</v>
      </c>
      <c r="F123" s="217" t="s">
        <v>1840</v>
      </c>
      <c r="G123" s="217" t="s">
        <v>15513</v>
      </c>
      <c r="H123" s="218">
        <f ca="1">IF(ISERROR($V123),"",OFFSET('Smelter Look-up'!$G$4,$V123-4,0))</f>
        <v>0</v>
      </c>
      <c r="I123" s="219" t="str">
        <f ca="1">IF(ISERROR($V123),"",OFFSET('Smelter Look-up'!$H$4,$V123-4,0))</f>
        <v>Gejiu</v>
      </c>
      <c r="J123" s="219" t="str">
        <f ca="1">IF(ISERROR($V123),"",OFFSET('Smelter Look-up'!$I$4,$V123-4,0))</f>
        <v>Yunnan Sheng</v>
      </c>
      <c r="K123" s="273"/>
      <c r="L123" s="273"/>
      <c r="M123" s="273"/>
      <c r="N123" s="273"/>
      <c r="O123" s="273"/>
      <c r="P123" s="220"/>
      <c r="Q123" s="274"/>
      <c r="R123" s="217" t="str">
        <f ca="1">IF(ISERROR($V123),"",OFFSET('Smelter Look-up'!$C$4,$V123-4,0)&amp;"")</f>
        <v>Gejiu Yunxin Nonferrous Electrolysis Co., Ltd.</v>
      </c>
      <c r="S123" s="225" t="str">
        <f t="shared" ca="1" si="15"/>
        <v>CN</v>
      </c>
      <c r="T123" s="225" t="str">
        <f ca="1">IF(B123="","",IF(ISERROR(MATCH($J123,SorP!$B$1:$B$6230,0)),"",INDIRECT("'SorP'!$A$"&amp;MATCH($J123,SorP!$B$1:$B$6230,0))))</f>
        <v>CN-YN</v>
      </c>
      <c r="U123" s="241"/>
      <c r="V123" s="275">
        <f>IF(C123="",NA(),MATCH($B123&amp;$C123,'Smelter Look-up'!$J:$J,0))</f>
        <v>390</v>
      </c>
      <c r="W123" s="276"/>
      <c r="X123" s="276">
        <f t="shared" si="16"/>
        <v>0</v>
      </c>
      <c r="Y123" s="276"/>
      <c r="Z123" s="276"/>
      <c r="AB123" s="278" t="str">
        <f t="shared" si="17"/>
        <v>TinGejiu Yunxin Nonferrous Electrolysis Co., Ltd.</v>
      </c>
    </row>
    <row r="124" spans="1:28" s="277" customFormat="1" ht="94.5">
      <c r="A124" s="216"/>
      <c r="B124" s="217" t="s">
        <v>1154</v>
      </c>
      <c r="C124" s="221" t="s">
        <v>1811</v>
      </c>
      <c r="D124" s="283" t="s">
        <v>1811</v>
      </c>
      <c r="E124" s="217" t="s">
        <v>1123</v>
      </c>
      <c r="F124" s="217" t="s">
        <v>788</v>
      </c>
      <c r="G124" s="217" t="s">
        <v>13577</v>
      </c>
      <c r="H124" s="218">
        <f ca="1">IF(ISERROR($V124),"",OFFSET('Smelter Look-up'!$G$4,$V124-4,0))</f>
        <v>0</v>
      </c>
      <c r="I124" s="219" t="str">
        <f ca="1">IF(ISERROR($V124),"",OFFSET('Smelter Look-up'!$H$4,$V124-4,0))</f>
        <v>Gejiu</v>
      </c>
      <c r="J124" s="219" t="str">
        <f ca="1">IF(ISERROR($V124),"",OFFSET('Smelter Look-up'!$I$4,$V124-4,0))</f>
        <v>Yunnan Sheng</v>
      </c>
      <c r="K124" s="273"/>
      <c r="L124" s="273"/>
      <c r="M124" s="273"/>
      <c r="N124" s="273"/>
      <c r="O124" s="273"/>
      <c r="P124" s="220"/>
      <c r="Q124" s="274"/>
      <c r="R124" s="217" t="str">
        <f ca="1">IF(ISERROR($V124),"",OFFSET('Smelter Look-up'!$C$4,$V124-4,0)&amp;"")</f>
        <v>Gejiu Zili Mining And Metallurgy Co., Ltd.</v>
      </c>
      <c r="S124" s="225" t="str">
        <f t="shared" ca="1" si="15"/>
        <v>CN</v>
      </c>
      <c r="T124" s="225" t="str">
        <f ca="1">IF(B124="","",IF(ISERROR(MATCH($J124,SorP!$B$1:$B$6230,0)),"",INDIRECT("'SorP'!$A$"&amp;MATCH($J124,SorP!$B$1:$B$6230,0))))</f>
        <v>CN-YN</v>
      </c>
      <c r="U124" s="241"/>
      <c r="V124" s="275">
        <f>IF(C124="",NA(),MATCH($B124&amp;$C124,'Smelter Look-up'!$J:$J,0))</f>
        <v>392</v>
      </c>
      <c r="W124" s="276"/>
      <c r="X124" s="276">
        <f t="shared" si="16"/>
        <v>0</v>
      </c>
      <c r="Y124" s="276"/>
      <c r="Z124" s="276"/>
      <c r="AB124" s="278" t="str">
        <f t="shared" si="17"/>
        <v>TinGejiu Zili Mining And Metallurgy Co., Ltd.</v>
      </c>
    </row>
    <row r="125" spans="1:28" s="277" customFormat="1" ht="54">
      <c r="A125" s="216"/>
      <c r="B125" s="217" t="s">
        <v>1156</v>
      </c>
      <c r="C125" s="221" t="s">
        <v>14229</v>
      </c>
      <c r="D125" s="283" t="s">
        <v>14229</v>
      </c>
      <c r="E125" s="217" t="s">
        <v>1123</v>
      </c>
      <c r="F125" s="217" t="s">
        <v>14250</v>
      </c>
      <c r="G125" s="217" t="s">
        <v>14250</v>
      </c>
      <c r="H125" s="218" t="s">
        <v>15590</v>
      </c>
      <c r="I125" s="219" t="s">
        <v>14250</v>
      </c>
      <c r="J125" s="219" t="s">
        <v>14250</v>
      </c>
      <c r="K125" s="273" t="s">
        <v>15591</v>
      </c>
      <c r="L125" s="273" t="s">
        <v>15592</v>
      </c>
      <c r="M125" s="273"/>
      <c r="N125" s="273"/>
      <c r="O125" s="273" t="s">
        <v>15521</v>
      </c>
      <c r="P125" s="220"/>
      <c r="Q125" s="274"/>
      <c r="R125" s="217" t="str">
        <f ca="1">IF(ISERROR($V125),"",OFFSET('Smelter Look-up'!$C$4,$V125-4,0)&amp;"")</f>
        <v>GEM Co., Ltd.</v>
      </c>
      <c r="S125" s="225" t="str">
        <f t="shared" ca="1" si="15"/>
        <v>CN</v>
      </c>
      <c r="T125" s="225" t="str">
        <f ca="1">IF(B125="","",IF(ISERROR(MATCH($J125,SorP!$B$1:$B$6230,0)),"",INDIRECT("'SorP'!$A$"&amp;MATCH($J125,SorP!$B$1:$B$6230,0))))</f>
        <v/>
      </c>
      <c r="U125" s="241"/>
      <c r="V125" s="275">
        <f>IF(C125="",NA(),MATCH($B125&amp;$C125,'Smelter Look-up'!$J:$J,0))</f>
        <v>511</v>
      </c>
      <c r="W125" s="276"/>
      <c r="X125" s="276">
        <f t="shared" si="16"/>
        <v>0</v>
      </c>
      <c r="Y125" s="276"/>
      <c r="Z125" s="276"/>
      <c r="AB125" s="278" t="str">
        <f t="shared" si="17"/>
        <v>TungstenGEM Co., Ltd.</v>
      </c>
    </row>
    <row r="126" spans="1:28" s="277" customFormat="1" ht="67.5">
      <c r="A126" s="216"/>
      <c r="B126" s="217" t="s">
        <v>1155</v>
      </c>
      <c r="C126" s="221" t="s">
        <v>1434</v>
      </c>
      <c r="D126" s="283" t="s">
        <v>1434</v>
      </c>
      <c r="E126" s="217" t="s">
        <v>1131</v>
      </c>
      <c r="F126" s="217" t="s">
        <v>1435</v>
      </c>
      <c r="G126" s="217" t="s">
        <v>15513</v>
      </c>
      <c r="H126" s="218">
        <f ca="1">IF(ISERROR($V126),"",OFFSET('Smelter Look-up'!$G$4,$V126-4,0))</f>
        <v>0</v>
      </c>
      <c r="I126" s="219" t="str">
        <f ca="1">IF(ISERROR($V126),"",OFFSET('Smelter Look-up'!$H$4,$V126-4,0))</f>
        <v>Aizuwakamatsu</v>
      </c>
      <c r="J126" s="219" t="str">
        <f ca="1">IF(ISERROR($V126),"",OFFSET('Smelter Look-up'!$I$4,$V126-4,0))</f>
        <v>Fukushima</v>
      </c>
      <c r="K126" s="273"/>
      <c r="L126" s="273"/>
      <c r="M126" s="273"/>
      <c r="N126" s="273"/>
      <c r="O126" s="273"/>
      <c r="P126" s="220"/>
      <c r="Q126" s="274"/>
      <c r="R126" s="217" t="str">
        <f ca="1">IF(ISERROR($V126),"",OFFSET('Smelter Look-up'!$C$4,$V126-4,0)&amp;"")</f>
        <v>Global Advanced Metals Aizu</v>
      </c>
      <c r="S126" s="225" t="str">
        <f t="shared" ca="1" si="15"/>
        <v>JP</v>
      </c>
      <c r="T126" s="225" t="str">
        <f ca="1">IF(B126="","",IF(ISERROR(MATCH($J126,SorP!$B$1:$B$6230,0)),"",INDIRECT("'SorP'!$A$"&amp;MATCH($J126,SorP!$B$1:$B$6230,0))))</f>
        <v>JP-07</v>
      </c>
      <c r="U126" s="241"/>
      <c r="V126" s="275">
        <f>IF(C126="",NA(),MATCH($B126&amp;$C126,'Smelter Look-up'!$J:$J,0))</f>
        <v>304</v>
      </c>
      <c r="W126" s="276"/>
      <c r="X126" s="276">
        <f t="shared" si="16"/>
        <v>0</v>
      </c>
      <c r="Y126" s="276"/>
      <c r="Z126" s="276"/>
      <c r="AB126" s="278" t="str">
        <f t="shared" si="17"/>
        <v>TantalumGlobal Advanced Metals Aizu</v>
      </c>
    </row>
    <row r="127" spans="1:28" s="277" customFormat="1" ht="81">
      <c r="A127" s="216"/>
      <c r="B127" s="217" t="s">
        <v>1155</v>
      </c>
      <c r="C127" s="221" t="s">
        <v>1436</v>
      </c>
      <c r="D127" s="283" t="s">
        <v>1436</v>
      </c>
      <c r="E127" s="217" t="s">
        <v>2576</v>
      </c>
      <c r="F127" s="217" t="s">
        <v>1437</v>
      </c>
      <c r="G127" s="217" t="s">
        <v>15513</v>
      </c>
      <c r="H127" s="218">
        <f ca="1">IF(ISERROR($V127),"",OFFSET('Smelter Look-up'!$G$4,$V127-4,0))</f>
        <v>0</v>
      </c>
      <c r="I127" s="219" t="str">
        <f ca="1">IF(ISERROR($V127),"",OFFSET('Smelter Look-up'!$H$4,$V127-4,0))</f>
        <v>Boyertown</v>
      </c>
      <c r="J127" s="219" t="str">
        <f ca="1">IF(ISERROR($V127),"",OFFSET('Smelter Look-up'!$I$4,$V127-4,0))</f>
        <v>Pennsylvania</v>
      </c>
      <c r="K127" s="273"/>
      <c r="L127" s="273"/>
      <c r="M127" s="273"/>
      <c r="N127" s="273"/>
      <c r="O127" s="273"/>
      <c r="P127" s="220"/>
      <c r="Q127" s="274"/>
      <c r="R127" s="217" t="str">
        <f ca="1">IF(ISERROR($V127),"",OFFSET('Smelter Look-up'!$C$4,$V127-4,0)&amp;"")</f>
        <v>Global Advanced Metals Boyertown</v>
      </c>
      <c r="S127" s="225" t="str">
        <f t="shared" ca="1" si="15"/>
        <v>US</v>
      </c>
      <c r="T127" s="225" t="str">
        <f ca="1">IF(B127="","",IF(ISERROR(MATCH($J127,SorP!$B$1:$B$6230,0)),"",INDIRECT("'SorP'!$A$"&amp;MATCH($J127,SorP!$B$1:$B$6230,0))))</f>
        <v>US-PA</v>
      </c>
      <c r="U127" s="241"/>
      <c r="V127" s="275">
        <f>IF(C127="",NA(),MATCH($B127&amp;$C127,'Smelter Look-up'!$J:$J,0))</f>
        <v>305</v>
      </c>
      <c r="W127" s="276"/>
      <c r="X127" s="276">
        <f t="shared" si="16"/>
        <v>0</v>
      </c>
      <c r="Y127" s="276"/>
      <c r="Z127" s="276"/>
      <c r="AB127" s="278" t="str">
        <f t="shared" si="17"/>
        <v>TantalumGlobal Advanced Metals Boyertown</v>
      </c>
    </row>
    <row r="128" spans="1:28" s="277" customFormat="1" ht="81">
      <c r="A128" s="216"/>
      <c r="B128" s="217" t="s">
        <v>1156</v>
      </c>
      <c r="C128" s="221" t="s">
        <v>1</v>
      </c>
      <c r="D128" s="283" t="s">
        <v>1</v>
      </c>
      <c r="E128" s="217" t="s">
        <v>2576</v>
      </c>
      <c r="F128" s="217" t="s">
        <v>815</v>
      </c>
      <c r="G128" s="217" t="s">
        <v>15513</v>
      </c>
      <c r="H128" s="218">
        <f ca="1">IF(ISERROR($V128),"",OFFSET('Smelter Look-up'!$G$4,$V128-4,0))</f>
        <v>0</v>
      </c>
      <c r="I128" s="219" t="str">
        <f ca="1">IF(ISERROR($V128),"",OFFSET('Smelter Look-up'!$H$4,$V128-4,0))</f>
        <v>Towanda</v>
      </c>
      <c r="J128" s="219" t="str">
        <f ca="1">IF(ISERROR($V128),"",OFFSET('Smelter Look-up'!$I$4,$V128-4,0))</f>
        <v>Pennsylvania</v>
      </c>
      <c r="K128" s="273"/>
      <c r="L128" s="273"/>
      <c r="M128" s="273"/>
      <c r="N128" s="273"/>
      <c r="O128" s="273"/>
      <c r="P128" s="220"/>
      <c r="Q128" s="274"/>
      <c r="R128" s="217" t="str">
        <f ca="1">IF(ISERROR($V128),"",OFFSET('Smelter Look-up'!$C$4,$V128-4,0)&amp;"")</f>
        <v>Global Tungsten &amp; Powders Corp.</v>
      </c>
      <c r="S128" s="225" t="str">
        <f t="shared" ca="1" si="15"/>
        <v>US</v>
      </c>
      <c r="T128" s="225" t="str">
        <f ca="1">IF(B128="","",IF(ISERROR(MATCH($J128,SorP!$B$1:$B$6230,0)),"",INDIRECT("'SorP'!$A$"&amp;MATCH($J128,SorP!$B$1:$B$6230,0))))</f>
        <v>US-PA</v>
      </c>
      <c r="U128" s="241"/>
      <c r="V128" s="275">
        <f>IF(C128="",NA(),MATCH($B128&amp;$C128,'Smelter Look-up'!$J:$J,0))</f>
        <v>512</v>
      </c>
      <c r="W128" s="276"/>
      <c r="X128" s="276">
        <f t="shared" si="16"/>
        <v>0</v>
      </c>
      <c r="Y128" s="276"/>
      <c r="Z128" s="276"/>
      <c r="AB128" s="278" t="str">
        <f t="shared" si="17"/>
        <v>TungstenGlobal Tungsten &amp; Powders Corp.</v>
      </c>
    </row>
    <row r="129" spans="1:28" s="277" customFormat="1" ht="40.5">
      <c r="A129" s="216"/>
      <c r="B129" s="217" t="s">
        <v>1153</v>
      </c>
      <c r="C129" s="221" t="s">
        <v>14213</v>
      </c>
      <c r="D129" s="283" t="s">
        <v>14213</v>
      </c>
      <c r="E129" s="217" t="s">
        <v>13350</v>
      </c>
      <c r="F129" s="217" t="s">
        <v>14250</v>
      </c>
      <c r="G129" s="217" t="s">
        <v>14250</v>
      </c>
      <c r="H129" s="218">
        <f ca="1">IF(ISERROR($V129),"",OFFSET('Smelter Look-up'!$G$4,$V129-4,0))</f>
        <v>0</v>
      </c>
      <c r="I129" s="219" t="str">
        <f ca="1">IF(ISERROR($V129),"",OFFSET('Smelter Look-up'!$H$4,$V129-4,0))</f>
        <v>Accra</v>
      </c>
      <c r="J129" s="219" t="str">
        <f ca="1">IF(ISERROR($V129),"",OFFSET('Smelter Look-up'!$I$4,$V129-4,0))</f>
        <v>Greater Accra</v>
      </c>
      <c r="K129" s="273"/>
      <c r="L129" s="273"/>
      <c r="M129" s="273"/>
      <c r="N129" s="273"/>
      <c r="O129" s="273"/>
      <c r="P129" s="220"/>
      <c r="Q129" s="274"/>
      <c r="R129" s="217" t="str">
        <f ca="1">IF(ISERROR($V129),"",OFFSET('Smelter Look-up'!$C$4,$V129-4,0)&amp;"")</f>
        <v>Gold Coast Refinery</v>
      </c>
      <c r="S129" s="225" t="str">
        <f t="shared" ca="1" si="15"/>
        <v>GH</v>
      </c>
      <c r="T129" s="225" t="str">
        <f ca="1">IF(B129="","",IF(ISERROR(MATCH($J129,SorP!$B$1:$B$6230,0)),"",INDIRECT("'SorP'!$A$"&amp;MATCH($J129,SorP!$B$1:$B$6230,0))))</f>
        <v>GH-AA</v>
      </c>
      <c r="U129" s="241"/>
      <c r="V129" s="275">
        <f>IF(C129="",NA(),MATCH($B129&amp;$C129,'Smelter Look-up'!$J:$J,0))</f>
        <v>81</v>
      </c>
      <c r="W129" s="276"/>
      <c r="X129" s="276">
        <f t="shared" si="16"/>
        <v>0</v>
      </c>
      <c r="Y129" s="276"/>
      <c r="Z129" s="276"/>
      <c r="AB129" s="278" t="str">
        <f t="shared" si="17"/>
        <v>GoldGold Coast Refinery</v>
      </c>
    </row>
    <row r="130" spans="1:28" s="277" customFormat="1" ht="94.5">
      <c r="A130" s="216"/>
      <c r="B130" s="217" t="s">
        <v>1153</v>
      </c>
      <c r="C130" s="221" t="s">
        <v>2642</v>
      </c>
      <c r="D130" s="283" t="s">
        <v>2642</v>
      </c>
      <c r="E130" s="217" t="s">
        <v>1123</v>
      </c>
      <c r="F130" s="217" t="s">
        <v>763</v>
      </c>
      <c r="G130" s="217" t="s">
        <v>15513</v>
      </c>
      <c r="H130" s="218">
        <f ca="1">IF(ISERROR($V130),"",OFFSET('Smelter Look-up'!$G$4,$V130-4,0))</f>
        <v>0</v>
      </c>
      <c r="I130" s="219" t="str">
        <f ca="1">IF(ISERROR($V130),"",OFFSET('Smelter Look-up'!$H$4,$V130-4,0))</f>
        <v>Shanghang</v>
      </c>
      <c r="J130" s="219" t="str">
        <f ca="1">IF(ISERROR($V130),"",OFFSET('Smelter Look-up'!$I$4,$V130-4,0))</f>
        <v>Fujian Sheng</v>
      </c>
      <c r="K130" s="273"/>
      <c r="L130" s="273"/>
      <c r="M130" s="273"/>
      <c r="N130" s="273"/>
      <c r="O130" s="273"/>
      <c r="P130" s="220"/>
      <c r="Q130" s="274"/>
      <c r="R130" s="217" t="str">
        <f ca="1">IF(ISERROR($V130),"",OFFSET('Smelter Look-up'!$C$4,$V130-4,0)&amp;"")</f>
        <v>Gold Refinery of Zijin Mining Group Co., Ltd.</v>
      </c>
      <c r="S130" s="225" t="str">
        <f t="shared" ca="1" si="15"/>
        <v>CN</v>
      </c>
      <c r="T130" s="225" t="str">
        <f ca="1">IF(B130="","",IF(ISERROR(MATCH($J130,SorP!$B$1:$B$6230,0)),"",INDIRECT("'SorP'!$A$"&amp;MATCH($J130,SorP!$B$1:$B$6230,0))))</f>
        <v>CN-FJ</v>
      </c>
      <c r="U130" s="241"/>
      <c r="V130" s="275">
        <f>IF(C130="",NA(),MATCH($B130&amp;$C130,'Smelter Look-up'!$J:$J,0))</f>
        <v>83</v>
      </c>
      <c r="W130" s="276"/>
      <c r="X130" s="276">
        <f t="shared" si="16"/>
        <v>0</v>
      </c>
      <c r="Y130" s="276"/>
      <c r="Z130" s="276"/>
      <c r="AB130" s="278" t="str">
        <f t="shared" si="17"/>
        <v>GoldGold Refinery of Zijin Mining Group Co., Ltd.</v>
      </c>
    </row>
    <row r="131" spans="1:28" s="277" customFormat="1" ht="81">
      <c r="A131" s="216"/>
      <c r="B131" s="217" t="s">
        <v>1153</v>
      </c>
      <c r="C131" s="221" t="s">
        <v>2328</v>
      </c>
      <c r="D131" s="283" t="s">
        <v>2328</v>
      </c>
      <c r="E131" s="217" t="s">
        <v>1123</v>
      </c>
      <c r="F131" s="217" t="s">
        <v>749</v>
      </c>
      <c r="G131" s="217" t="s">
        <v>15513</v>
      </c>
      <c r="H131" s="218">
        <f ca="1">IF(ISERROR($V131),"",OFFSET('Smelter Look-up'!$G$4,$V131-4,0))</f>
        <v>0</v>
      </c>
      <c r="I131" s="219" t="str">
        <f ca="1">IF(ISERROR($V131),"",OFFSET('Smelter Look-up'!$H$4,$V131-4,0))</f>
        <v>Chengdu</v>
      </c>
      <c r="J131" s="219" t="str">
        <f ca="1">IF(ISERROR($V131),"",OFFSET('Smelter Look-up'!$I$4,$V131-4,0))</f>
        <v>Sichuan Sheng</v>
      </c>
      <c r="K131" s="273"/>
      <c r="L131" s="273"/>
      <c r="M131" s="273"/>
      <c r="N131" s="273"/>
      <c r="O131" s="273"/>
      <c r="P131" s="220"/>
      <c r="Q131" s="274"/>
      <c r="R131" s="217" t="str">
        <f ca="1">IF(ISERROR($V131),"",OFFSET('Smelter Look-up'!$C$4,$V131-4,0)&amp;"")</f>
        <v>Great Wall Precious Metals Co., Ltd. of CBPM</v>
      </c>
      <c r="S131" s="225" t="str">
        <f t="shared" ca="1" si="15"/>
        <v>CN</v>
      </c>
      <c r="T131" s="225" t="str">
        <f ca="1">IF(B131="","",IF(ISERROR(MATCH($J131,SorP!$B$1:$B$6230,0)),"",INDIRECT("'SorP'!$A$"&amp;MATCH($J131,SorP!$B$1:$B$6230,0))))</f>
        <v>CN-SC</v>
      </c>
      <c r="U131" s="241"/>
      <c r="V131" s="275">
        <f>IF(C131="",NA(),MATCH($B131&amp;$C131,'Smelter Look-up'!$J:$J,0))</f>
        <v>85</v>
      </c>
      <c r="W131" s="276"/>
      <c r="X131" s="276">
        <f t="shared" si="16"/>
        <v>0</v>
      </c>
      <c r="Y131" s="276"/>
      <c r="Z131" s="276"/>
      <c r="AB131" s="278" t="str">
        <f t="shared" si="17"/>
        <v>GoldGreat Wall Precious Metals Co., Ltd. of CBPM</v>
      </c>
    </row>
    <row r="132" spans="1:28" s="277" customFormat="1" ht="94.5">
      <c r="A132" s="216"/>
      <c r="B132" s="217" t="s">
        <v>1154</v>
      </c>
      <c r="C132" s="221" t="s">
        <v>2677</v>
      </c>
      <c r="D132" s="283" t="s">
        <v>2677</v>
      </c>
      <c r="E132" s="217" t="s">
        <v>1123</v>
      </c>
      <c r="F132" s="217" t="s">
        <v>2678</v>
      </c>
      <c r="G132" s="217" t="s">
        <v>15513</v>
      </c>
      <c r="H132" s="218">
        <f ca="1">IF(ISERROR($V132),"",OFFSET('Smelter Look-up'!$G$4,$V132-4,0))</f>
        <v>0</v>
      </c>
      <c r="I132" s="219" t="str">
        <f ca="1">IF(ISERROR($V132),"",OFFSET('Smelter Look-up'!$H$4,$V132-4,0))</f>
        <v>Chaozhou</v>
      </c>
      <c r="J132" s="219" t="str">
        <f ca="1">IF(ISERROR($V132),"",OFFSET('Smelter Look-up'!$I$4,$V132-4,0))</f>
        <v>Guangdong Sheng</v>
      </c>
      <c r="K132" s="273"/>
      <c r="L132" s="273"/>
      <c r="M132" s="273"/>
      <c r="N132" s="273"/>
      <c r="O132" s="273"/>
      <c r="P132" s="220"/>
      <c r="Q132" s="274"/>
      <c r="R132" s="217" t="str">
        <f ca="1">IF(ISERROR($V132),"",OFFSET('Smelter Look-up'!$C$4,$V132-4,0)&amp;"")</f>
        <v>Guangdong Hanhe Non-Ferrous Metal Co., Ltd.</v>
      </c>
      <c r="S132" s="225" t="str">
        <f t="shared" ca="1" si="15"/>
        <v>CN</v>
      </c>
      <c r="T132" s="225" t="str">
        <f ca="1">IF(B132="","",IF(ISERROR(MATCH($J132,SorP!$B$1:$B$6230,0)),"",INDIRECT("'SorP'!$A$"&amp;MATCH($J132,SorP!$B$1:$B$6230,0))))</f>
        <v>CN-GD</v>
      </c>
      <c r="U132" s="241"/>
      <c r="V132" s="275">
        <f>IF(C132="",NA(),MATCH($B132&amp;$C132,'Smelter Look-up'!$J:$J,0))</f>
        <v>395</v>
      </c>
      <c r="W132" s="276"/>
      <c r="X132" s="276">
        <f t="shared" si="16"/>
        <v>0</v>
      </c>
      <c r="Y132" s="276"/>
      <c r="Z132" s="276"/>
      <c r="AB132" s="278" t="str">
        <f t="shared" si="17"/>
        <v>TinGuangdong Hanhe Non-Ferrous Metal Co., Ltd.</v>
      </c>
    </row>
    <row r="133" spans="1:28" s="277" customFormat="1" ht="40.5">
      <c r="A133" s="216"/>
      <c r="B133" s="217" t="s">
        <v>1153</v>
      </c>
      <c r="C133" s="221" t="s">
        <v>1898</v>
      </c>
      <c r="D133" s="283" t="s">
        <v>15593</v>
      </c>
      <c r="E133" s="217" t="s">
        <v>1123</v>
      </c>
      <c r="F133" s="217" t="s">
        <v>14250</v>
      </c>
      <c r="G133" s="217" t="s">
        <v>14250</v>
      </c>
      <c r="H133" s="218">
        <f ca="1">IF(ISERROR($V133),"",OFFSET('Smelter Look-up'!$G$4,$V133-4,0))</f>
        <v>0</v>
      </c>
      <c r="I133" s="219">
        <f ca="1">IF(ISERROR($V133),"",OFFSET('Smelter Look-up'!$H$4,$V133-4,0))</f>
        <v>0</v>
      </c>
      <c r="J133" s="219">
        <f ca="1">IF(ISERROR($V133),"",OFFSET('Smelter Look-up'!$I$4,$V133-4,0))</f>
        <v>0</v>
      </c>
      <c r="K133" s="273"/>
      <c r="L133" s="273"/>
      <c r="M133" s="273"/>
      <c r="N133" s="273"/>
      <c r="O133" s="273"/>
      <c r="P133" s="220"/>
      <c r="Q133" s="274"/>
      <c r="R133" s="217" t="str">
        <f ca="1">IF(ISERROR($V133),"",OFFSET('Smelter Look-up'!$C$4,$V133-4,0)&amp;"")</f>
        <v/>
      </c>
      <c r="S133" s="225" t="str">
        <f t="shared" ref="S133" ca="1" si="18">IF(B133="","",IF(ISERROR(MATCH($E133,CL,0)),"Unknown",INDIRECT("'C'!$A$"&amp;MATCH($E133,CL,0)+1)))</f>
        <v>CN</v>
      </c>
      <c r="T133" s="225" t="str">
        <f ca="1">IF(B133="","",IF(ISERROR(MATCH($J133,SorP!$B$1:$B$6230,0)),"",INDIRECT("'SorP'!$A$"&amp;MATCH($J133,SorP!$B$1:$B$6230,0))))</f>
        <v/>
      </c>
      <c r="U133" s="241"/>
      <c r="V133" s="275">
        <f>IF(C133="",NA(),MATCH($B133&amp;$C133,'Smelter Look-up'!$J:$J,0))</f>
        <v>293</v>
      </c>
      <c r="W133" s="276"/>
      <c r="X133" s="276">
        <f t="shared" ref="X133" si="19">IF(AND(C133="Smelter not listed",OR(LEN(D133)=0,LEN(E133)=0)),1,0)</f>
        <v>0</v>
      </c>
      <c r="Y133" s="276"/>
      <c r="Z133" s="276"/>
      <c r="AB133" s="278" t="str">
        <f t="shared" ref="AB133" si="20">B133&amp;C133</f>
        <v>GoldSmelter not listed</v>
      </c>
    </row>
    <row r="134" spans="1:28" s="277" customFormat="1" ht="67.5">
      <c r="A134" s="216"/>
      <c r="B134" s="217" t="s">
        <v>1153</v>
      </c>
      <c r="C134" s="221" t="s">
        <v>692</v>
      </c>
      <c r="D134" s="283" t="s">
        <v>692</v>
      </c>
      <c r="E134" s="217" t="s">
        <v>1123</v>
      </c>
      <c r="F134" s="217" t="s">
        <v>693</v>
      </c>
      <c r="G134" s="217" t="s">
        <v>15513</v>
      </c>
      <c r="H134" s="218">
        <f ca="1">IF(ISERROR($V134),"",OFFSET('Smelter Look-up'!$G$4,$V134-4,0))</f>
        <v>0</v>
      </c>
      <c r="I134" s="219" t="str">
        <f ca="1">IF(ISERROR($V134),"",OFFSET('Smelter Look-up'!$H$4,$V134-4,0))</f>
        <v>Guangzhou</v>
      </c>
      <c r="J134" s="219" t="str">
        <f ca="1">IF(ISERROR($V134),"",OFFSET('Smelter Look-up'!$I$4,$V134-4,0))</f>
        <v>Guangdong Sheng</v>
      </c>
      <c r="K134" s="273"/>
      <c r="L134" s="273"/>
      <c r="M134" s="273"/>
      <c r="N134" s="273"/>
      <c r="O134" s="273"/>
      <c r="P134" s="220"/>
      <c r="Q134" s="274"/>
      <c r="R134" s="217" t="str">
        <f ca="1">IF(ISERROR($V134),"",OFFSET('Smelter Look-up'!$C$4,$V134-4,0)&amp;"")</f>
        <v>Guangdong Jinding Gold Limited</v>
      </c>
      <c r="S134" s="225" t="str">
        <f t="shared" ref="S134:S165" ca="1" si="21">IF(B134="","",IF(ISERROR(MATCH($E134,CL,0)),"Unknown",INDIRECT("'C'!$A$"&amp;MATCH($E134,CL,0)+1)))</f>
        <v>CN</v>
      </c>
      <c r="T134" s="225" t="str">
        <f ca="1">IF(B134="","",IF(ISERROR(MATCH($J134,SorP!$B$1:$B$6230,0)),"",INDIRECT("'SorP'!$A$"&amp;MATCH($J134,SorP!$B$1:$B$6230,0))))</f>
        <v>CN-GD</v>
      </c>
      <c r="U134" s="241"/>
      <c r="V134" s="275">
        <f>IF(C134="",NA(),MATCH($B134&amp;$C134,'Smelter Look-up'!$J:$J,0))</f>
        <v>87</v>
      </c>
      <c r="W134" s="276"/>
      <c r="X134" s="276">
        <f t="shared" ref="X134:X165" si="22">IF(AND(C134="Smelter not listed",OR(LEN(D134)=0,LEN(E134)=0)),1,0)</f>
        <v>0</v>
      </c>
      <c r="Y134" s="276"/>
      <c r="Z134" s="276"/>
      <c r="AB134" s="278" t="str">
        <f t="shared" ref="AB134:AB165" si="23">B134&amp;C134</f>
        <v>GoldGuangdong Jinding Gold Limited</v>
      </c>
    </row>
    <row r="135" spans="1:28" s="277" customFormat="1" ht="40.5">
      <c r="A135" s="216"/>
      <c r="B135" s="217" t="s">
        <v>1153</v>
      </c>
      <c r="C135" s="221" t="s">
        <v>1898</v>
      </c>
      <c r="D135" s="283" t="s">
        <v>15594</v>
      </c>
      <c r="E135" s="217" t="s">
        <v>1123</v>
      </c>
      <c r="F135" s="217" t="s">
        <v>14250</v>
      </c>
      <c r="G135" s="217" t="s">
        <v>14250</v>
      </c>
      <c r="H135" s="218">
        <f ca="1">IF(ISERROR($V135),"",OFFSET('Smelter Look-up'!$G$4,$V135-4,0))</f>
        <v>0</v>
      </c>
      <c r="I135" s="219">
        <f ca="1">IF(ISERROR($V135),"",OFFSET('Smelter Look-up'!$H$4,$V135-4,0))</f>
        <v>0</v>
      </c>
      <c r="J135" s="219">
        <f ca="1">IF(ISERROR($V135),"",OFFSET('Smelter Look-up'!$I$4,$V135-4,0))</f>
        <v>0</v>
      </c>
      <c r="K135" s="273"/>
      <c r="L135" s="273"/>
      <c r="M135" s="273"/>
      <c r="N135" s="273"/>
      <c r="O135" s="273"/>
      <c r="P135" s="220"/>
      <c r="Q135" s="274"/>
      <c r="R135" s="217" t="str">
        <f ca="1">IF(ISERROR($V135),"",OFFSET('Smelter Look-up'!$C$4,$V135-4,0)&amp;"")</f>
        <v/>
      </c>
      <c r="S135" s="225" t="str">
        <f t="shared" ca="1" si="21"/>
        <v>CN</v>
      </c>
      <c r="T135" s="225" t="str">
        <f ca="1">IF(B135="","",IF(ISERROR(MATCH($J135,SorP!$B$1:$B$6230,0)),"",INDIRECT("'SorP'!$A$"&amp;MATCH($J135,SorP!$B$1:$B$6230,0))))</f>
        <v/>
      </c>
      <c r="U135" s="241"/>
      <c r="V135" s="275">
        <f>IF(C135="",NA(),MATCH($B135&amp;$C135,'Smelter Look-up'!$J:$J,0))</f>
        <v>293</v>
      </c>
      <c r="W135" s="276"/>
      <c r="X135" s="276">
        <f t="shared" si="22"/>
        <v>0</v>
      </c>
      <c r="Y135" s="276"/>
      <c r="Z135" s="276"/>
      <c r="AB135" s="278" t="str">
        <f t="shared" si="23"/>
        <v>GoldSmelter not listed</v>
      </c>
    </row>
    <row r="136" spans="1:28" s="277" customFormat="1" ht="54">
      <c r="A136" s="216"/>
      <c r="B136" s="217" t="s">
        <v>1155</v>
      </c>
      <c r="C136" s="221" t="s">
        <v>1898</v>
      </c>
      <c r="D136" s="283" t="s">
        <v>15595</v>
      </c>
      <c r="E136" s="217" t="s">
        <v>1123</v>
      </c>
      <c r="F136" s="217" t="s">
        <v>15596</v>
      </c>
      <c r="G136" s="217" t="s">
        <v>15513</v>
      </c>
      <c r="H136" s="218">
        <f ca="1">IF(ISERROR($V136),"",OFFSET('Smelter Look-up'!$G$4,$V136-4,0))</f>
        <v>0</v>
      </c>
      <c r="I136" s="219">
        <f ca="1">IF(ISERROR($V136),"",OFFSET('Smelter Look-up'!$H$4,$V136-4,0))</f>
        <v>0</v>
      </c>
      <c r="J136" s="219">
        <f ca="1">IF(ISERROR($V136),"",OFFSET('Smelter Look-up'!$I$4,$V136-4,0))</f>
        <v>0</v>
      </c>
      <c r="K136" s="273"/>
      <c r="L136" s="273"/>
      <c r="M136" s="273"/>
      <c r="N136" s="273"/>
      <c r="O136" s="273"/>
      <c r="P136" s="220"/>
      <c r="Q136" s="274"/>
      <c r="R136" s="217" t="str">
        <f ca="1">IF(ISERROR($V136),"",OFFSET('Smelter Look-up'!$C$4,$V136-4,0)&amp;"")</f>
        <v/>
      </c>
      <c r="S136" s="225" t="str">
        <f t="shared" ca="1" si="21"/>
        <v>CN</v>
      </c>
      <c r="T136" s="225" t="str">
        <f ca="1">IF(B136="","",IF(ISERROR(MATCH($J136,SorP!$B$1:$B$6230,0)),"",INDIRECT("'SorP'!$A$"&amp;MATCH($J136,SorP!$B$1:$B$6230,0))))</f>
        <v/>
      </c>
      <c r="U136" s="241"/>
      <c r="V136" s="275">
        <f>IF(C136="",NA(),MATCH($B136&amp;$C136,'Smelter Look-up'!$J:$J,0))</f>
        <v>353</v>
      </c>
      <c r="W136" s="276"/>
      <c r="X136" s="276">
        <f t="shared" si="22"/>
        <v>0</v>
      </c>
      <c r="Y136" s="276"/>
      <c r="Z136" s="276"/>
      <c r="AB136" s="278" t="str">
        <f t="shared" si="23"/>
        <v>TantalumSmelter not listed</v>
      </c>
    </row>
    <row r="137" spans="1:28" s="277" customFormat="1" ht="94.5">
      <c r="A137" s="216"/>
      <c r="B137" s="217" t="s">
        <v>1156</v>
      </c>
      <c r="C137" s="221" t="s">
        <v>1403</v>
      </c>
      <c r="D137" s="283" t="s">
        <v>1403</v>
      </c>
      <c r="E137" s="217" t="s">
        <v>1123</v>
      </c>
      <c r="F137" s="217" t="s">
        <v>812</v>
      </c>
      <c r="G137" s="217" t="s">
        <v>15513</v>
      </c>
      <c r="H137" s="218">
        <f ca="1">IF(ISERROR($V137),"",OFFSET('Smelter Look-up'!$G$4,$V137-4,0))</f>
        <v>0</v>
      </c>
      <c r="I137" s="219" t="str">
        <f ca="1">IF(ISERROR($V137),"",OFFSET('Smelter Look-up'!$H$4,$V137-4,0))</f>
        <v>Chaozhou</v>
      </c>
      <c r="J137" s="219" t="str">
        <f ca="1">IF(ISERROR($V137),"",OFFSET('Smelter Look-up'!$I$4,$V137-4,0))</f>
        <v>Guangdong Sheng</v>
      </c>
      <c r="K137" s="273"/>
      <c r="L137" s="273"/>
      <c r="M137" s="273"/>
      <c r="N137" s="273"/>
      <c r="O137" s="273"/>
      <c r="P137" s="220"/>
      <c r="Q137" s="274"/>
      <c r="R137" s="217" t="str">
        <f ca="1">IF(ISERROR($V137),"",OFFSET('Smelter Look-up'!$C$4,$V137-4,0)&amp;"")</f>
        <v>Guangdong Xianglu Tungsten Co., Ltd.</v>
      </c>
      <c r="S137" s="225" t="str">
        <f t="shared" ca="1" si="21"/>
        <v>CN</v>
      </c>
      <c r="T137" s="225" t="str">
        <f ca="1">IF(B137="","",IF(ISERROR(MATCH($J137,SorP!$B$1:$B$6230,0)),"",INDIRECT("'SorP'!$A$"&amp;MATCH($J137,SorP!$B$1:$B$6230,0))))</f>
        <v>CN-GD</v>
      </c>
      <c r="U137" s="241"/>
      <c r="V137" s="275">
        <f>IF(C137="",NA(),MATCH($B137&amp;$C137,'Smelter Look-up'!$J:$J,0))</f>
        <v>514</v>
      </c>
      <c r="W137" s="276"/>
      <c r="X137" s="276">
        <f t="shared" si="22"/>
        <v>0</v>
      </c>
      <c r="Y137" s="276"/>
      <c r="Z137" s="276"/>
      <c r="AB137" s="278" t="str">
        <f t="shared" si="23"/>
        <v>TungstenGuangdong Xianglu Tungsten Co., Ltd.</v>
      </c>
    </row>
    <row r="138" spans="1:28" s="277" customFormat="1" ht="94.5">
      <c r="A138" s="216"/>
      <c r="B138" s="217" t="s">
        <v>1155</v>
      </c>
      <c r="C138" s="221" t="s">
        <v>767</v>
      </c>
      <c r="D138" s="283" t="s">
        <v>767</v>
      </c>
      <c r="E138" s="217" t="s">
        <v>1123</v>
      </c>
      <c r="F138" s="217" t="s">
        <v>768</v>
      </c>
      <c r="G138" s="217" t="s">
        <v>15513</v>
      </c>
      <c r="H138" s="218">
        <f ca="1">IF(ISERROR($V138),"",OFFSET('Smelter Look-up'!$G$4,$V138-4,0))</f>
        <v>0</v>
      </c>
      <c r="I138" s="219" t="str">
        <f ca="1">IF(ISERROR($V138),"",OFFSET('Smelter Look-up'!$H$4,$V138-4,0))</f>
        <v>Yingde</v>
      </c>
      <c r="J138" s="219" t="str">
        <f ca="1">IF(ISERROR($V138),"",OFFSET('Smelter Look-up'!$I$4,$V138-4,0))</f>
        <v>Guangdong Sheng</v>
      </c>
      <c r="K138" s="273"/>
      <c r="L138" s="273"/>
      <c r="M138" s="273"/>
      <c r="N138" s="273"/>
      <c r="O138" s="273"/>
      <c r="P138" s="220"/>
      <c r="Q138" s="274"/>
      <c r="R138" s="217" t="str">
        <f ca="1">IF(ISERROR($V138),"",OFFSET('Smelter Look-up'!$C$4,$V138-4,0)&amp;"")</f>
        <v>Guangdong Zhiyuan New Material Co., Ltd.</v>
      </c>
      <c r="S138" s="225" t="str">
        <f t="shared" ca="1" si="21"/>
        <v>CN</v>
      </c>
      <c r="T138" s="225" t="str">
        <f ca="1">IF(B138="","",IF(ISERROR(MATCH($J138,SorP!$B$1:$B$6230,0)),"",INDIRECT("'SorP'!$A$"&amp;MATCH($J138,SorP!$B$1:$B$6230,0))))</f>
        <v>CN-GD</v>
      </c>
      <c r="U138" s="241"/>
      <c r="V138" s="275">
        <f>IF(C138="",NA(),MATCH($B138&amp;$C138,'Smelter Look-up'!$J:$J,0))</f>
        <v>306</v>
      </c>
      <c r="W138" s="276"/>
      <c r="X138" s="276">
        <f t="shared" si="22"/>
        <v>0</v>
      </c>
      <c r="Y138" s="276"/>
      <c r="Z138" s="276"/>
      <c r="AB138" s="278" t="str">
        <f t="shared" si="23"/>
        <v>TantalumGuangdong Zhiyuan New Material Co., Ltd.</v>
      </c>
    </row>
    <row r="139" spans="1:28" s="277" customFormat="1" ht="40.5">
      <c r="A139" s="216"/>
      <c r="B139" s="217" t="s">
        <v>1154</v>
      </c>
      <c r="C139" s="221" t="s">
        <v>1898</v>
      </c>
      <c r="D139" s="283" t="s">
        <v>15597</v>
      </c>
      <c r="E139" s="217" t="s">
        <v>1123</v>
      </c>
      <c r="F139" s="217" t="s">
        <v>14250</v>
      </c>
      <c r="G139" s="217" t="s">
        <v>14250</v>
      </c>
      <c r="H139" s="218">
        <f ca="1">IF(ISERROR($V139),"",OFFSET('Smelter Look-up'!$G$4,$V139-4,0))</f>
        <v>0</v>
      </c>
      <c r="I139" s="219">
        <f ca="1">IF(ISERROR($V139),"",OFFSET('Smelter Look-up'!$H$4,$V139-4,0))</f>
        <v>0</v>
      </c>
      <c r="J139" s="219">
        <f ca="1">IF(ISERROR($V139),"",OFFSET('Smelter Look-up'!$I$4,$V139-4,0))</f>
        <v>0</v>
      </c>
      <c r="K139" s="273"/>
      <c r="L139" s="273"/>
      <c r="M139" s="273"/>
      <c r="N139" s="273"/>
      <c r="O139" s="273"/>
      <c r="P139" s="220"/>
      <c r="Q139" s="274"/>
      <c r="R139" s="217" t="str">
        <f ca="1">IF(ISERROR($V139),"",OFFSET('Smelter Look-up'!$C$4,$V139-4,0)&amp;"")</f>
        <v/>
      </c>
      <c r="S139" s="225" t="str">
        <f t="shared" ca="1" si="21"/>
        <v>CN</v>
      </c>
      <c r="T139" s="225" t="str">
        <f ca="1">IF(B139="","",IF(ISERROR(MATCH($J139,SorP!$B$1:$B$6230,0)),"",INDIRECT("'SorP'!$A$"&amp;MATCH($J139,SorP!$B$1:$B$6230,0))))</f>
        <v/>
      </c>
      <c r="U139" s="241"/>
      <c r="V139" s="275">
        <f>IF(C139="",NA(),MATCH($B139&amp;$C139,'Smelter Look-up'!$J:$J,0))</f>
        <v>484</v>
      </c>
      <c r="W139" s="276"/>
      <c r="X139" s="276">
        <f t="shared" si="22"/>
        <v>0</v>
      </c>
      <c r="Y139" s="276"/>
      <c r="Z139" s="276"/>
      <c r="AB139" s="278" t="str">
        <f t="shared" si="23"/>
        <v>TinSmelter not listed</v>
      </c>
    </row>
    <row r="140" spans="1:28" s="277" customFormat="1" ht="40.5">
      <c r="A140" s="216"/>
      <c r="B140" s="217" t="s">
        <v>1154</v>
      </c>
      <c r="C140" s="221" t="s">
        <v>1898</v>
      </c>
      <c r="D140" s="283" t="s">
        <v>15598</v>
      </c>
      <c r="E140" s="217" t="s">
        <v>1123</v>
      </c>
      <c r="F140" s="217" t="s">
        <v>14250</v>
      </c>
      <c r="G140" s="217" t="s">
        <v>14250</v>
      </c>
      <c r="H140" s="218">
        <f ca="1">IF(ISERROR($V140),"",OFFSET('Smelter Look-up'!$G$4,$V140-4,0))</f>
        <v>0</v>
      </c>
      <c r="I140" s="219">
        <f ca="1">IF(ISERROR($V140),"",OFFSET('Smelter Look-up'!$H$4,$V140-4,0))</f>
        <v>0</v>
      </c>
      <c r="J140" s="219">
        <f ca="1">IF(ISERROR($V140),"",OFFSET('Smelter Look-up'!$I$4,$V140-4,0))</f>
        <v>0</v>
      </c>
      <c r="K140" s="273"/>
      <c r="L140" s="273"/>
      <c r="M140" s="273"/>
      <c r="N140" s="273"/>
      <c r="O140" s="273"/>
      <c r="P140" s="220"/>
      <c r="Q140" s="274"/>
      <c r="R140" s="217" t="str">
        <f ca="1">IF(ISERROR($V140),"",OFFSET('Smelter Look-up'!$C$4,$V140-4,0)&amp;"")</f>
        <v/>
      </c>
      <c r="S140" s="225" t="str">
        <f t="shared" ca="1" si="21"/>
        <v>CN</v>
      </c>
      <c r="T140" s="225" t="str">
        <f ca="1">IF(B140="","",IF(ISERROR(MATCH($J140,SorP!$B$1:$B$6230,0)),"",INDIRECT("'SorP'!$A$"&amp;MATCH($J140,SorP!$B$1:$B$6230,0))))</f>
        <v/>
      </c>
      <c r="U140" s="241"/>
      <c r="V140" s="275">
        <f>IF(C140="",NA(),MATCH($B140&amp;$C140,'Smelter Look-up'!$J:$J,0))</f>
        <v>484</v>
      </c>
      <c r="W140" s="276"/>
      <c r="X140" s="276">
        <f t="shared" si="22"/>
        <v>0</v>
      </c>
      <c r="Y140" s="276"/>
      <c r="Z140" s="276"/>
      <c r="AB140" s="278" t="str">
        <f t="shared" si="23"/>
        <v>TinSmelter not listed</v>
      </c>
    </row>
    <row r="141" spans="1:28" s="277" customFormat="1" ht="40.5">
      <c r="A141" s="216"/>
      <c r="B141" s="217" t="s">
        <v>1154</v>
      </c>
      <c r="C141" s="221" t="s">
        <v>1898</v>
      </c>
      <c r="D141" s="283" t="s">
        <v>15599</v>
      </c>
      <c r="E141" s="217" t="s">
        <v>1123</v>
      </c>
      <c r="F141" s="217" t="s">
        <v>14250</v>
      </c>
      <c r="G141" s="217" t="s">
        <v>14250</v>
      </c>
      <c r="H141" s="218">
        <f ca="1">IF(ISERROR($V141),"",OFFSET('Smelter Look-up'!$G$4,$V141-4,0))</f>
        <v>0</v>
      </c>
      <c r="I141" s="219">
        <f ca="1">IF(ISERROR($V141),"",OFFSET('Smelter Look-up'!$H$4,$V141-4,0))</f>
        <v>0</v>
      </c>
      <c r="J141" s="219">
        <f ca="1">IF(ISERROR($V141),"",OFFSET('Smelter Look-up'!$I$4,$V141-4,0))</f>
        <v>0</v>
      </c>
      <c r="K141" s="273"/>
      <c r="L141" s="273"/>
      <c r="M141" s="273"/>
      <c r="N141" s="273"/>
      <c r="O141" s="273"/>
      <c r="P141" s="220"/>
      <c r="Q141" s="274"/>
      <c r="R141" s="217" t="str">
        <f ca="1">IF(ISERROR($V141),"",OFFSET('Smelter Look-up'!$C$4,$V141-4,0)&amp;"")</f>
        <v/>
      </c>
      <c r="S141" s="225" t="str">
        <f t="shared" ca="1" si="21"/>
        <v>CN</v>
      </c>
      <c r="T141" s="225" t="str">
        <f ca="1">IF(B141="","",IF(ISERROR(MATCH($J141,SorP!$B$1:$B$6230,0)),"",INDIRECT("'SorP'!$A$"&amp;MATCH($J141,SorP!$B$1:$B$6230,0))))</f>
        <v/>
      </c>
      <c r="U141" s="241"/>
      <c r="V141" s="275">
        <f>IF(C141="",NA(),MATCH($B141&amp;$C141,'Smelter Look-up'!$J:$J,0))</f>
        <v>484</v>
      </c>
      <c r="W141" s="276"/>
      <c r="X141" s="276">
        <f t="shared" si="22"/>
        <v>0</v>
      </c>
      <c r="Y141" s="276"/>
      <c r="Z141" s="276"/>
      <c r="AB141" s="278" t="str">
        <f t="shared" si="23"/>
        <v>TinSmelter not listed</v>
      </c>
    </row>
    <row r="142" spans="1:28" s="277" customFormat="1" ht="94.5">
      <c r="A142" s="216"/>
      <c r="B142" s="217" t="s">
        <v>1154</v>
      </c>
      <c r="C142" s="221" t="s">
        <v>2378</v>
      </c>
      <c r="D142" s="283" t="s">
        <v>2378</v>
      </c>
      <c r="E142" s="217" t="s">
        <v>1123</v>
      </c>
      <c r="F142" s="217" t="s">
        <v>2379</v>
      </c>
      <c r="G142" s="217" t="s">
        <v>15513</v>
      </c>
      <c r="H142" s="218">
        <f ca="1">IF(ISERROR($V142),"",OFFSET('Smelter Look-up'!$G$4,$V142-4,0))</f>
        <v>0</v>
      </c>
      <c r="I142" s="219" t="str">
        <f ca="1">IF(ISERROR($V142),"",OFFSET('Smelter Look-up'!$H$4,$V142-4,0))</f>
        <v>Guanyang</v>
      </c>
      <c r="J142" s="219" t="str">
        <f ca="1">IF(ISERROR($V142),"",OFFSET('Smelter Look-up'!$I$4,$V142-4,0))</f>
        <v>Guangxi Zhuangzu Zizhiqu</v>
      </c>
      <c r="K142" s="273"/>
      <c r="L142" s="273"/>
      <c r="M142" s="273"/>
      <c r="N142" s="273"/>
      <c r="O142" s="273"/>
      <c r="P142" s="220"/>
      <c r="Q142" s="274"/>
      <c r="R142" s="217" t="str">
        <f ca="1">IF(ISERROR($V142),"",OFFSET('Smelter Look-up'!$C$4,$V142-4,0)&amp;"")</f>
        <v>Guanyang Guida Nonferrous Metal Smelting Plant</v>
      </c>
      <c r="S142" s="225" t="str">
        <f t="shared" ca="1" si="21"/>
        <v>CN</v>
      </c>
      <c r="T142" s="225" t="str">
        <f ca="1">IF(B142="","",IF(ISERROR(MATCH($J142,SorP!$B$1:$B$6230,0)),"",INDIRECT("'SorP'!$A$"&amp;MATCH($J142,SorP!$B$1:$B$6230,0))))</f>
        <v>CN-GX</v>
      </c>
      <c r="U142" s="241"/>
      <c r="V142" s="275">
        <f>IF(C142="",NA(),MATCH($B142&amp;$C142,'Smelter Look-up'!$J:$J,0))</f>
        <v>398</v>
      </c>
      <c r="W142" s="276"/>
      <c r="X142" s="276">
        <f t="shared" si="22"/>
        <v>0</v>
      </c>
      <c r="Y142" s="276"/>
      <c r="Z142" s="276"/>
      <c r="AB142" s="278" t="str">
        <f t="shared" si="23"/>
        <v>TinGuanyang Guida Nonferrous Metal Smelting Plant</v>
      </c>
    </row>
    <row r="143" spans="1:28" s="277" customFormat="1" ht="121.5">
      <c r="A143" s="216"/>
      <c r="B143" s="217" t="s">
        <v>1153</v>
      </c>
      <c r="C143" s="221" t="s">
        <v>1613</v>
      </c>
      <c r="D143" s="283" t="s">
        <v>1613</v>
      </c>
      <c r="E143" s="217" t="s">
        <v>1123</v>
      </c>
      <c r="F143" s="217" t="s">
        <v>1614</v>
      </c>
      <c r="G143" s="217" t="s">
        <v>15513</v>
      </c>
      <c r="H143" s="218">
        <f ca="1">IF(ISERROR($V143),"",OFFSET('Smelter Look-up'!$G$4,$V143-4,0))</f>
        <v>0</v>
      </c>
      <c r="I143" s="219" t="str">
        <f ca="1">IF(ISERROR($V143),"",OFFSET('Smelter Look-up'!$H$4,$V143-4,0))</f>
        <v>Zhaoyuan</v>
      </c>
      <c r="J143" s="219" t="str">
        <f ca="1">IF(ISERROR($V143),"",OFFSET('Smelter Look-up'!$I$4,$V143-4,0))</f>
        <v>Shandong Sheng</v>
      </c>
      <c r="K143" s="273"/>
      <c r="L143" s="273"/>
      <c r="M143" s="273"/>
      <c r="N143" s="273"/>
      <c r="O143" s="273"/>
      <c r="P143" s="220"/>
      <c r="Q143" s="274"/>
      <c r="R143" s="217" t="str">
        <f ca="1">IF(ISERROR($V143),"",OFFSET('Smelter Look-up'!$C$4,$V143-4,0)&amp;"")</f>
        <v>Guoda Safina High-Tech Environmental Refinery Co., Ltd.</v>
      </c>
      <c r="S143" s="225" t="str">
        <f t="shared" ca="1" si="21"/>
        <v>CN</v>
      </c>
      <c r="T143" s="225" t="str">
        <f ca="1">IF(B143="","",IF(ISERROR(MATCH($J143,SorP!$B$1:$B$6230,0)),"",INDIRECT("'SorP'!$A$"&amp;MATCH($J143,SorP!$B$1:$B$6230,0))))</f>
        <v>CN-SD</v>
      </c>
      <c r="U143" s="241"/>
      <c r="V143" s="275">
        <f>IF(C143="",NA(),MATCH($B143&amp;$C143,'Smelter Look-up'!$J:$J,0))</f>
        <v>89</v>
      </c>
      <c r="W143" s="276"/>
      <c r="X143" s="276">
        <f t="shared" si="22"/>
        <v>0</v>
      </c>
      <c r="Y143" s="276"/>
      <c r="Z143" s="276"/>
      <c r="AB143" s="278" t="str">
        <f t="shared" si="23"/>
        <v>GoldGuoda Safina High-Tech Environmental Refinery Co., Ltd.</v>
      </c>
    </row>
    <row r="144" spans="1:28" s="277" customFormat="1" ht="54">
      <c r="A144" s="216"/>
      <c r="B144" s="217" t="s">
        <v>1155</v>
      </c>
      <c r="C144" s="221" t="s">
        <v>1438</v>
      </c>
      <c r="D144" s="283" t="s">
        <v>1438</v>
      </c>
      <c r="E144" s="217" t="s">
        <v>911</v>
      </c>
      <c r="F144" s="217" t="s">
        <v>1439</v>
      </c>
      <c r="G144" s="217" t="s">
        <v>15513</v>
      </c>
      <c r="H144" s="218">
        <f ca="1">IF(ISERROR($V144),"",OFFSET('Smelter Look-up'!$G$4,$V144-4,0))</f>
        <v>0</v>
      </c>
      <c r="I144" s="219" t="str">
        <f ca="1">IF(ISERROR($V144),"",OFFSET('Smelter Look-up'!$H$4,$V144-4,0))</f>
        <v>Map Ta Phut</v>
      </c>
      <c r="J144" s="219" t="str">
        <f ca="1">IF(ISERROR($V144),"",OFFSET('Smelter Look-up'!$I$4,$V144-4,0))</f>
        <v>Rayong</v>
      </c>
      <c r="K144" s="273"/>
      <c r="L144" s="273"/>
      <c r="M144" s="273"/>
      <c r="N144" s="273"/>
      <c r="O144" s="273"/>
      <c r="P144" s="220"/>
      <c r="Q144" s="274"/>
      <c r="R144" s="217" t="str">
        <f ca="1">IF(ISERROR($V144),"",OFFSET('Smelter Look-up'!$C$4,$V144-4,0)&amp;"")</f>
        <v>H.C. Starck Co., Ltd.</v>
      </c>
      <c r="S144" s="225" t="str">
        <f t="shared" ca="1" si="21"/>
        <v>TH</v>
      </c>
      <c r="T144" s="225" t="str">
        <f ca="1">IF(B144="","",IF(ISERROR(MATCH($J144,SorP!$B$1:$B$6230,0)),"",INDIRECT("'SorP'!$A$"&amp;MATCH($J144,SorP!$B$1:$B$6230,0))))</f>
        <v>TH-21</v>
      </c>
      <c r="U144" s="241"/>
      <c r="V144" s="275">
        <f>IF(C144="",NA(),MATCH($B144&amp;$C144,'Smelter Look-up'!$J:$J,0))</f>
        <v>307</v>
      </c>
      <c r="W144" s="276"/>
      <c r="X144" s="276">
        <f t="shared" si="22"/>
        <v>0</v>
      </c>
      <c r="Y144" s="276"/>
      <c r="Z144" s="276"/>
      <c r="AB144" s="278" t="str">
        <f t="shared" si="23"/>
        <v>TantalumH.C. Starck Co., Ltd.</v>
      </c>
    </row>
    <row r="145" spans="1:28" s="277" customFormat="1" ht="67.5">
      <c r="A145" s="216"/>
      <c r="B145" s="217" t="s">
        <v>1155</v>
      </c>
      <c r="C145" s="221" t="s">
        <v>1441</v>
      </c>
      <c r="D145" s="283" t="s">
        <v>1441</v>
      </c>
      <c r="E145" s="217" t="s">
        <v>1124</v>
      </c>
      <c r="F145" s="217" t="s">
        <v>1442</v>
      </c>
      <c r="G145" s="217" t="s">
        <v>15513</v>
      </c>
      <c r="H145" s="218">
        <f ca="1">IF(ISERROR($V145),"",OFFSET('Smelter Look-up'!$G$4,$V145-4,0))</f>
        <v>0</v>
      </c>
      <c r="I145" s="219" t="str">
        <f ca="1">IF(ISERROR($V145),"",OFFSET('Smelter Look-up'!$H$4,$V145-4,0))</f>
        <v>Hermsdorf</v>
      </c>
      <c r="J145" s="219" t="str">
        <f ca="1">IF(ISERROR($V145),"",OFFSET('Smelter Look-up'!$I$4,$V145-4,0))</f>
        <v>Thüringen</v>
      </c>
      <c r="K145" s="273"/>
      <c r="L145" s="273"/>
      <c r="M145" s="273"/>
      <c r="N145" s="273"/>
      <c r="O145" s="273"/>
      <c r="P145" s="220"/>
      <c r="Q145" s="274"/>
      <c r="R145" s="217" t="str">
        <f ca="1">IF(ISERROR($V145),"",OFFSET('Smelter Look-up'!$C$4,$V145-4,0)&amp;"")</f>
        <v>H.C. Starck Hermsdorf GmbH</v>
      </c>
      <c r="S145" s="225" t="str">
        <f t="shared" ca="1" si="21"/>
        <v>DE</v>
      </c>
      <c r="T145" s="225" t="str">
        <f ca="1">IF(B145="","",IF(ISERROR(MATCH($J145,SorP!$B$1:$B$6230,0)),"",INDIRECT("'SorP'!$A$"&amp;MATCH($J145,SorP!$B$1:$B$6230,0))))</f>
        <v>DE-TH</v>
      </c>
      <c r="U145" s="241"/>
      <c r="V145" s="275">
        <f>IF(C145="",NA(),MATCH($B145&amp;$C145,'Smelter Look-up'!$J:$J,0))</f>
        <v>308</v>
      </c>
      <c r="W145" s="276"/>
      <c r="X145" s="276">
        <f t="shared" si="22"/>
        <v>0</v>
      </c>
      <c r="Y145" s="276"/>
      <c r="Z145" s="276"/>
      <c r="AB145" s="278" t="str">
        <f t="shared" si="23"/>
        <v>TantalumH.C. Starck Hermsdorf GmbH</v>
      </c>
    </row>
    <row r="146" spans="1:28" s="277" customFormat="1" ht="54">
      <c r="A146" s="216"/>
      <c r="B146" s="217" t="s">
        <v>1155</v>
      </c>
      <c r="C146" s="221" t="s">
        <v>1443</v>
      </c>
      <c r="D146" s="283" t="s">
        <v>1443</v>
      </c>
      <c r="E146" s="217" t="s">
        <v>2576</v>
      </c>
      <c r="F146" s="217" t="s">
        <v>1444</v>
      </c>
      <c r="G146" s="217" t="s">
        <v>15513</v>
      </c>
      <c r="H146" s="218">
        <f ca="1">IF(ISERROR($V146),"",OFFSET('Smelter Look-up'!$G$4,$V146-4,0))</f>
        <v>0</v>
      </c>
      <c r="I146" s="219" t="str">
        <f ca="1">IF(ISERROR($V146),"",OFFSET('Smelter Look-up'!$H$4,$V146-4,0))</f>
        <v>Newton</v>
      </c>
      <c r="J146" s="219" t="str">
        <f ca="1">IF(ISERROR($V146),"",OFFSET('Smelter Look-up'!$I$4,$V146-4,0))</f>
        <v>Massachusetts</v>
      </c>
      <c r="K146" s="273"/>
      <c r="L146" s="273"/>
      <c r="M146" s="273"/>
      <c r="N146" s="273"/>
      <c r="O146" s="273"/>
      <c r="P146" s="220"/>
      <c r="Q146" s="274"/>
      <c r="R146" s="217" t="str">
        <f ca="1">IF(ISERROR($V146),"",OFFSET('Smelter Look-up'!$C$4,$V146-4,0)&amp;"")</f>
        <v>H.C. Starck Inc.</v>
      </c>
      <c r="S146" s="225" t="str">
        <f t="shared" ca="1" si="21"/>
        <v>US</v>
      </c>
      <c r="T146" s="225" t="str">
        <f ca="1">IF(B146="","",IF(ISERROR(MATCH($J146,SorP!$B$1:$B$6230,0)),"",INDIRECT("'SorP'!$A$"&amp;MATCH($J146,SorP!$B$1:$B$6230,0))))</f>
        <v>US-MA</v>
      </c>
      <c r="U146" s="241"/>
      <c r="V146" s="275">
        <f>IF(C146="",NA(),MATCH($B146&amp;$C146,'Smelter Look-up'!$J:$J,0))</f>
        <v>309</v>
      </c>
      <c r="W146" s="276"/>
      <c r="X146" s="276">
        <f t="shared" si="22"/>
        <v>0</v>
      </c>
      <c r="Y146" s="276"/>
      <c r="Z146" s="276"/>
      <c r="AB146" s="278" t="str">
        <f t="shared" si="23"/>
        <v>TantalumH.C. Starck Inc.</v>
      </c>
    </row>
    <row r="147" spans="1:28" s="277" customFormat="1" ht="54">
      <c r="A147" s="216"/>
      <c r="B147" s="217" t="s">
        <v>1155</v>
      </c>
      <c r="C147" s="221" t="s">
        <v>1445</v>
      </c>
      <c r="D147" s="283" t="s">
        <v>1445</v>
      </c>
      <c r="E147" s="217" t="s">
        <v>1131</v>
      </c>
      <c r="F147" s="217" t="s">
        <v>1446</v>
      </c>
      <c r="G147" s="217" t="s">
        <v>15513</v>
      </c>
      <c r="H147" s="218">
        <f ca="1">IF(ISERROR($V147),"",OFFSET('Smelter Look-up'!$G$4,$V147-4,0))</f>
        <v>0</v>
      </c>
      <c r="I147" s="219" t="str">
        <f ca="1">IF(ISERROR($V147),"",OFFSET('Smelter Look-up'!$H$4,$V147-4,0))</f>
        <v>Mito</v>
      </c>
      <c r="J147" s="219" t="str">
        <f ca="1">IF(ISERROR($V147),"",OFFSET('Smelter Look-up'!$I$4,$V147-4,0))</f>
        <v>Ibaraki</v>
      </c>
      <c r="K147" s="273"/>
      <c r="L147" s="273"/>
      <c r="M147" s="273"/>
      <c r="N147" s="273"/>
      <c r="O147" s="273"/>
      <c r="P147" s="220"/>
      <c r="Q147" s="274"/>
      <c r="R147" s="217" t="str">
        <f ca="1">IF(ISERROR($V147),"",OFFSET('Smelter Look-up'!$C$4,$V147-4,0)&amp;"")</f>
        <v>H.C. Starck Ltd.</v>
      </c>
      <c r="S147" s="225" t="str">
        <f t="shared" ca="1" si="21"/>
        <v>JP</v>
      </c>
      <c r="T147" s="225" t="str">
        <f ca="1">IF(B147="","",IF(ISERROR(MATCH($J147,SorP!$B$1:$B$6230,0)),"",INDIRECT("'SorP'!$A$"&amp;MATCH($J147,SorP!$B$1:$B$6230,0))))</f>
        <v>JP-08</v>
      </c>
      <c r="U147" s="241"/>
      <c r="V147" s="275">
        <f>IF(C147="",NA(),MATCH($B147&amp;$C147,'Smelter Look-up'!$J:$J,0))</f>
        <v>310</v>
      </c>
      <c r="W147" s="276"/>
      <c r="X147" s="276">
        <f t="shared" si="22"/>
        <v>0</v>
      </c>
      <c r="Y147" s="276"/>
      <c r="Z147" s="276"/>
      <c r="AB147" s="278" t="str">
        <f t="shared" si="23"/>
        <v>TantalumH.C. Starck Ltd.</v>
      </c>
    </row>
    <row r="148" spans="1:28" s="277" customFormat="1" ht="81">
      <c r="A148" s="216"/>
      <c r="B148" s="217" t="s">
        <v>1155</v>
      </c>
      <c r="C148" s="221" t="s">
        <v>2461</v>
      </c>
      <c r="D148" s="283" t="s">
        <v>2461</v>
      </c>
      <c r="E148" s="217" t="s">
        <v>1124</v>
      </c>
      <c r="F148" s="217" t="s">
        <v>1447</v>
      </c>
      <c r="G148" s="217" t="s">
        <v>15513</v>
      </c>
      <c r="H148" s="218">
        <f ca="1">IF(ISERROR($V148),"",OFFSET('Smelter Look-up'!$G$4,$V148-4,0))</f>
        <v>0</v>
      </c>
      <c r="I148" s="219" t="str">
        <f ca="1">IF(ISERROR($V148),"",OFFSET('Smelter Look-up'!$H$4,$V148-4,0))</f>
        <v>Laufenburg</v>
      </c>
      <c r="J148" s="219" t="str">
        <f ca="1">IF(ISERROR($V148),"",OFFSET('Smelter Look-up'!$I$4,$V148-4,0))</f>
        <v>Baden-Württemberg</v>
      </c>
      <c r="K148" s="273"/>
      <c r="L148" s="273"/>
      <c r="M148" s="273"/>
      <c r="N148" s="273"/>
      <c r="O148" s="273"/>
      <c r="P148" s="220"/>
      <c r="Q148" s="274"/>
      <c r="R148" s="217" t="str">
        <f ca="1">IF(ISERROR($V148),"",OFFSET('Smelter Look-up'!$C$4,$V148-4,0)&amp;"")</f>
        <v>H.C. Starck Smelting GmbH &amp; Co. KG</v>
      </c>
      <c r="S148" s="225" t="str">
        <f t="shared" ca="1" si="21"/>
        <v>DE</v>
      </c>
      <c r="T148" s="225" t="str">
        <f ca="1">IF(B148="","",IF(ISERROR(MATCH($J148,SorP!$B$1:$B$6230,0)),"",INDIRECT("'SorP'!$A$"&amp;MATCH($J148,SorP!$B$1:$B$6230,0))))</f>
        <v>DE-BW</v>
      </c>
      <c r="U148" s="241"/>
      <c r="V148" s="275">
        <f>IF(C148="",NA(),MATCH($B148&amp;$C148,'Smelter Look-up'!$J:$J,0))</f>
        <v>311</v>
      </c>
      <c r="W148" s="276"/>
      <c r="X148" s="276">
        <f t="shared" si="22"/>
        <v>0</v>
      </c>
      <c r="Y148" s="276"/>
      <c r="Z148" s="276"/>
      <c r="AB148" s="278" t="str">
        <f t="shared" si="23"/>
        <v>TantalumH.C. Starck Smelting GmbH &amp; Co. KG</v>
      </c>
    </row>
    <row r="149" spans="1:28" s="277" customFormat="1" ht="81">
      <c r="A149" s="216"/>
      <c r="B149" s="217" t="s">
        <v>1156</v>
      </c>
      <c r="C149" s="221" t="s">
        <v>2461</v>
      </c>
      <c r="D149" s="283" t="s">
        <v>2461</v>
      </c>
      <c r="E149" s="217" t="s">
        <v>1124</v>
      </c>
      <c r="F149" s="217" t="s">
        <v>1452</v>
      </c>
      <c r="G149" s="217" t="s">
        <v>15513</v>
      </c>
      <c r="H149" s="218">
        <f ca="1">IF(ISERROR($V149),"",OFFSET('Smelter Look-up'!$G$4,$V149-4,0))</f>
        <v>0</v>
      </c>
      <c r="I149" s="219" t="str">
        <f ca="1">IF(ISERROR($V149),"",OFFSET('Smelter Look-up'!$H$4,$V149-4,0))</f>
        <v>Laufenburg</v>
      </c>
      <c r="J149" s="219" t="str">
        <f ca="1">IF(ISERROR($V149),"",OFFSET('Smelter Look-up'!$I$4,$V149-4,0))</f>
        <v>Baden-Württemberg</v>
      </c>
      <c r="K149" s="273"/>
      <c r="L149" s="273"/>
      <c r="M149" s="273"/>
      <c r="N149" s="273"/>
      <c r="O149" s="273"/>
      <c r="P149" s="220"/>
      <c r="Q149" s="274"/>
      <c r="R149" s="217" t="str">
        <f ca="1">IF(ISERROR($V149),"",OFFSET('Smelter Look-up'!$C$4,$V149-4,0)&amp;"")</f>
        <v>H.C. Starck Smelting GmbH &amp; Co. KG</v>
      </c>
      <c r="S149" s="225" t="str">
        <f t="shared" ca="1" si="21"/>
        <v>DE</v>
      </c>
      <c r="T149" s="225" t="str">
        <f ca="1">IF(B149="","",IF(ISERROR(MATCH($J149,SorP!$B$1:$B$6230,0)),"",INDIRECT("'SorP'!$A$"&amp;MATCH($J149,SorP!$B$1:$B$6230,0))))</f>
        <v>DE-BW</v>
      </c>
      <c r="U149" s="241"/>
      <c r="V149" s="275">
        <f>IF(C149="",NA(),MATCH($B149&amp;$C149,'Smelter Look-up'!$J:$J,0))</f>
        <v>515</v>
      </c>
      <c r="W149" s="276"/>
      <c r="X149" s="276">
        <f t="shared" si="22"/>
        <v>0</v>
      </c>
      <c r="Y149" s="276"/>
      <c r="Z149" s="276"/>
      <c r="AB149" s="278" t="str">
        <f t="shared" si="23"/>
        <v>TungstenH.C. Starck Smelting GmbH &amp; Co. KG</v>
      </c>
    </row>
    <row r="150" spans="1:28" s="277" customFormat="1" ht="94.5">
      <c r="A150" s="216"/>
      <c r="B150" s="217" t="s">
        <v>1155</v>
      </c>
      <c r="C150" s="221" t="s">
        <v>2673</v>
      </c>
      <c r="D150" s="283" t="s">
        <v>2673</v>
      </c>
      <c r="E150" s="217" t="s">
        <v>1124</v>
      </c>
      <c r="F150" s="217" t="s">
        <v>1440</v>
      </c>
      <c r="G150" s="217" t="s">
        <v>15513</v>
      </c>
      <c r="H150" s="218">
        <f ca="1">IF(ISERROR($V150),"",OFFSET('Smelter Look-up'!$G$4,$V150-4,0))</f>
        <v>0</v>
      </c>
      <c r="I150" s="219" t="str">
        <f ca="1">IF(ISERROR($V150),"",OFFSET('Smelter Look-up'!$H$4,$V150-4,0))</f>
        <v>Goslar</v>
      </c>
      <c r="J150" s="219" t="str">
        <f ca="1">IF(ISERROR($V150),"",OFFSET('Smelter Look-up'!$I$4,$V150-4,0))</f>
        <v>Niedersachsen</v>
      </c>
      <c r="K150" s="273"/>
      <c r="L150" s="273"/>
      <c r="M150" s="273"/>
      <c r="N150" s="273"/>
      <c r="O150" s="273"/>
      <c r="P150" s="220"/>
      <c r="Q150" s="274"/>
      <c r="R150" s="217" t="str">
        <f ca="1">IF(ISERROR($V150),"",OFFSET('Smelter Look-up'!$C$4,$V150-4,0)&amp;"")</f>
        <v>H.C. Starck Tantalum and Niobium GmbH</v>
      </c>
      <c r="S150" s="225" t="str">
        <f t="shared" ca="1" si="21"/>
        <v>DE</v>
      </c>
      <c r="T150" s="225" t="str">
        <f ca="1">IF(B150="","",IF(ISERROR(MATCH($J150,SorP!$B$1:$B$6230,0)),"",INDIRECT("'SorP'!$A$"&amp;MATCH($J150,SorP!$B$1:$B$6230,0))))</f>
        <v>DE-NI</v>
      </c>
      <c r="U150" s="241"/>
      <c r="V150" s="275">
        <f>IF(C150="",NA(),MATCH($B150&amp;$C150,'Smelter Look-up'!$J:$J,0))</f>
        <v>312</v>
      </c>
      <c r="W150" s="276"/>
      <c r="X150" s="276">
        <f t="shared" si="22"/>
        <v>0</v>
      </c>
      <c r="Y150" s="276"/>
      <c r="Z150" s="276"/>
      <c r="AB150" s="278" t="str">
        <f t="shared" si="23"/>
        <v>TantalumH.C. Starck Tantalum and Niobium GmbH</v>
      </c>
    </row>
    <row r="151" spans="1:28" s="277" customFormat="1" ht="67.5">
      <c r="A151" s="216"/>
      <c r="B151" s="217" t="s">
        <v>1156</v>
      </c>
      <c r="C151" s="221" t="s">
        <v>2685</v>
      </c>
      <c r="D151" s="283" t="s">
        <v>2685</v>
      </c>
      <c r="E151" s="217" t="s">
        <v>1124</v>
      </c>
      <c r="F151" s="217" t="s">
        <v>1451</v>
      </c>
      <c r="G151" s="217" t="s">
        <v>15513</v>
      </c>
      <c r="H151" s="218">
        <f ca="1">IF(ISERROR($V151),"",OFFSET('Smelter Look-up'!$G$4,$V151-4,0))</f>
        <v>0</v>
      </c>
      <c r="I151" s="219" t="str">
        <f ca="1">IF(ISERROR($V151),"",OFFSET('Smelter Look-up'!$H$4,$V151-4,0))</f>
        <v>Goslar</v>
      </c>
      <c r="J151" s="219" t="str">
        <f ca="1">IF(ISERROR($V151),"",OFFSET('Smelter Look-up'!$I$4,$V151-4,0))</f>
        <v>Niedersachsen</v>
      </c>
      <c r="K151" s="273"/>
      <c r="L151" s="273"/>
      <c r="M151" s="273"/>
      <c r="N151" s="273"/>
      <c r="O151" s="273"/>
      <c r="P151" s="220"/>
      <c r="Q151" s="274"/>
      <c r="R151" s="217" t="str">
        <f ca="1">IF(ISERROR($V151),"",OFFSET('Smelter Look-up'!$C$4,$V151-4,0)&amp;"")</f>
        <v>H.C. Starck Tungsten GmbH</v>
      </c>
      <c r="S151" s="225" t="str">
        <f t="shared" ca="1" si="21"/>
        <v>DE</v>
      </c>
      <c r="T151" s="225" t="str">
        <f ca="1">IF(B151="","",IF(ISERROR(MATCH($J151,SorP!$B$1:$B$6230,0)),"",INDIRECT("'SorP'!$A$"&amp;MATCH($J151,SorP!$B$1:$B$6230,0))))</f>
        <v>DE-NI</v>
      </c>
      <c r="U151" s="241"/>
      <c r="V151" s="275">
        <f>IF(C151="",NA(),MATCH($B151&amp;$C151,'Smelter Look-up'!$J:$J,0))</f>
        <v>516</v>
      </c>
      <c r="W151" s="276"/>
      <c r="X151" s="276">
        <f t="shared" si="22"/>
        <v>0</v>
      </c>
      <c r="Y151" s="276"/>
      <c r="Z151" s="276"/>
      <c r="AB151" s="278" t="str">
        <f t="shared" si="23"/>
        <v>TungstenH.C. Starck Tungsten GmbH</v>
      </c>
    </row>
    <row r="152" spans="1:28" s="277" customFormat="1" ht="40.5">
      <c r="A152" s="216"/>
      <c r="B152" s="217" t="s">
        <v>1153</v>
      </c>
      <c r="C152" s="221" t="s">
        <v>1898</v>
      </c>
      <c r="D152" s="283" t="s">
        <v>15600</v>
      </c>
      <c r="E152" s="217" t="s">
        <v>1123</v>
      </c>
      <c r="F152" s="217" t="s">
        <v>14250</v>
      </c>
      <c r="G152" s="217" t="s">
        <v>14250</v>
      </c>
      <c r="H152" s="218">
        <f ca="1">IF(ISERROR($V152),"",OFFSET('Smelter Look-up'!$G$4,$V152-4,0))</f>
        <v>0</v>
      </c>
      <c r="I152" s="219">
        <f ca="1">IF(ISERROR($V152),"",OFFSET('Smelter Look-up'!$H$4,$V152-4,0))</f>
        <v>0</v>
      </c>
      <c r="J152" s="219">
        <f ca="1">IF(ISERROR($V152),"",OFFSET('Smelter Look-up'!$I$4,$V152-4,0))</f>
        <v>0</v>
      </c>
      <c r="K152" s="273"/>
      <c r="L152" s="273"/>
      <c r="M152" s="273"/>
      <c r="N152" s="273"/>
      <c r="O152" s="273"/>
      <c r="P152" s="220"/>
      <c r="Q152" s="274"/>
      <c r="R152" s="217" t="str">
        <f ca="1">IF(ISERROR($V152),"",OFFSET('Smelter Look-up'!$C$4,$V152-4,0)&amp;"")</f>
        <v/>
      </c>
      <c r="S152" s="225" t="str">
        <f t="shared" ca="1" si="21"/>
        <v>CN</v>
      </c>
      <c r="T152" s="225" t="str">
        <f ca="1">IF(B152="","",IF(ISERROR(MATCH($J152,SorP!$B$1:$B$6230,0)),"",INDIRECT("'SorP'!$A$"&amp;MATCH($J152,SorP!$B$1:$B$6230,0))))</f>
        <v/>
      </c>
      <c r="U152" s="241"/>
      <c r="V152" s="275">
        <f>IF(C152="",NA(),MATCH($B152&amp;$C152,'Smelter Look-up'!$J:$J,0))</f>
        <v>293</v>
      </c>
      <c r="W152" s="276"/>
      <c r="X152" s="276">
        <f t="shared" si="22"/>
        <v>0</v>
      </c>
      <c r="Y152" s="276"/>
      <c r="Z152" s="276"/>
      <c r="AB152" s="278" t="str">
        <f t="shared" si="23"/>
        <v>GoldSmelter not listed</v>
      </c>
    </row>
    <row r="153" spans="1:28" s="277" customFormat="1" ht="81">
      <c r="A153" s="216"/>
      <c r="B153" s="217" t="s">
        <v>1153</v>
      </c>
      <c r="C153" s="221" t="s">
        <v>404</v>
      </c>
      <c r="D153" s="283" t="s">
        <v>404</v>
      </c>
      <c r="E153" s="217" t="s">
        <v>1123</v>
      </c>
      <c r="F153" s="217" t="s">
        <v>405</v>
      </c>
      <c r="G153" s="217" t="s">
        <v>15513</v>
      </c>
      <c r="H153" s="218">
        <f ca="1">IF(ISERROR($V153),"",OFFSET('Smelter Look-up'!$G$4,$V153-4,0))</f>
        <v>0</v>
      </c>
      <c r="I153" s="219" t="str">
        <f ca="1">IF(ISERROR($V153),"",OFFSET('Smelter Look-up'!$H$4,$V153-4,0))</f>
        <v>Fuyang</v>
      </c>
      <c r="J153" s="219" t="str">
        <f ca="1">IF(ISERROR($V153),"",OFFSET('Smelter Look-up'!$I$4,$V153-4,0))</f>
        <v>Zhejiang Sheng</v>
      </c>
      <c r="K153" s="273"/>
      <c r="L153" s="273"/>
      <c r="M153" s="273"/>
      <c r="N153" s="273"/>
      <c r="O153" s="273"/>
      <c r="P153" s="220"/>
      <c r="Q153" s="274"/>
      <c r="R153" s="217" t="str">
        <f ca="1">IF(ISERROR($V153),"",OFFSET('Smelter Look-up'!$C$4,$V153-4,0)&amp;"")</f>
        <v>Hangzhou Fuchunjiang Smelting Co., Ltd.</v>
      </c>
      <c r="S153" s="225" t="str">
        <f t="shared" ca="1" si="21"/>
        <v>CN</v>
      </c>
      <c r="T153" s="225" t="str">
        <f ca="1">IF(B153="","",IF(ISERROR(MATCH($J153,SorP!$B$1:$B$6230,0)),"",INDIRECT("'SorP'!$A$"&amp;MATCH($J153,SorP!$B$1:$B$6230,0))))</f>
        <v>CN-ZJ</v>
      </c>
      <c r="U153" s="241"/>
      <c r="V153" s="275">
        <f>IF(C153="",NA(),MATCH($B153&amp;$C153,'Smelter Look-up'!$J:$J,0))</f>
        <v>90</v>
      </c>
      <c r="W153" s="276"/>
      <c r="X153" s="276">
        <f t="shared" si="22"/>
        <v>0</v>
      </c>
      <c r="Y153" s="276"/>
      <c r="Z153" s="276"/>
      <c r="AB153" s="278" t="str">
        <f t="shared" si="23"/>
        <v>GoldHangzhou Fuchunjiang Smelting Co., Ltd.</v>
      </c>
    </row>
    <row r="154" spans="1:28" s="277" customFormat="1" ht="40.5">
      <c r="A154" s="216"/>
      <c r="B154" s="217" t="s">
        <v>1153</v>
      </c>
      <c r="C154" s="221" t="s">
        <v>14214</v>
      </c>
      <c r="D154" s="283" t="s">
        <v>2644</v>
      </c>
      <c r="E154" s="217" t="s">
        <v>1134</v>
      </c>
      <c r="F154" s="217" t="s">
        <v>2645</v>
      </c>
      <c r="G154" s="217" t="s">
        <v>15513</v>
      </c>
      <c r="H154" s="218">
        <f ca="1">IF(ISERROR($V154),"",OFFSET('Smelter Look-up'!$G$4,$V154-4,0))</f>
        <v>0</v>
      </c>
      <c r="I154" s="219" t="str">
        <f ca="1">IF(ISERROR($V154),"",OFFSET('Smelter Look-up'!$H$4,$V154-4,0))</f>
        <v>Seo-gu</v>
      </c>
      <c r="J154" s="219" t="str">
        <f ca="1">IF(ISERROR($V154),"",OFFSET('Smelter Look-up'!$I$4,$V154-4,0))</f>
        <v>Incheon-gwangyeoksi</v>
      </c>
      <c r="K154" s="273"/>
      <c r="L154" s="273"/>
      <c r="M154" s="273"/>
      <c r="N154" s="273"/>
      <c r="O154" s="273"/>
      <c r="P154" s="220"/>
      <c r="Q154" s="274"/>
      <c r="R154" s="217" t="str">
        <f ca="1">IF(ISERROR($V154),"",OFFSET('Smelter Look-up'!$C$4,$V154-4,0)&amp;"")</f>
        <v>LT Metal Ltd.</v>
      </c>
      <c r="S154" s="225" t="str">
        <f t="shared" ca="1" si="21"/>
        <v>KR</v>
      </c>
      <c r="T154" s="225" t="str">
        <f ca="1">IF(B154="","",IF(ISERROR(MATCH($J154,SorP!$B$1:$B$6230,0)),"",INDIRECT("'SorP'!$A$"&amp;MATCH($J154,SorP!$B$1:$B$6230,0))))</f>
        <v>KR-28</v>
      </c>
      <c r="U154" s="241"/>
      <c r="V154" s="275">
        <f>IF(C154="",NA(),MATCH($B154&amp;$C154,'Smelter Look-up'!$J:$J,0))</f>
        <v>144</v>
      </c>
      <c r="W154" s="276"/>
      <c r="X154" s="276">
        <f t="shared" si="22"/>
        <v>0</v>
      </c>
      <c r="Y154" s="276"/>
      <c r="Z154" s="276"/>
      <c r="AB154" s="278" t="str">
        <f t="shared" si="23"/>
        <v>GoldLT Metal Ltd.</v>
      </c>
    </row>
    <row r="155" spans="1:28" s="277" customFormat="1" ht="54">
      <c r="A155" s="216"/>
      <c r="B155" s="217" t="s">
        <v>1153</v>
      </c>
      <c r="C155" s="221" t="s">
        <v>1062</v>
      </c>
      <c r="D155" s="283" t="s">
        <v>1062</v>
      </c>
      <c r="E155" s="217" t="s">
        <v>1124</v>
      </c>
      <c r="F155" s="217" t="s">
        <v>694</v>
      </c>
      <c r="G155" s="217" t="s">
        <v>15513</v>
      </c>
      <c r="H155" s="218">
        <f ca="1">IF(ISERROR($V155),"",OFFSET('Smelter Look-up'!$G$4,$V155-4,0))</f>
        <v>0</v>
      </c>
      <c r="I155" s="219" t="str">
        <f ca="1">IF(ISERROR($V155),"",OFFSET('Smelter Look-up'!$H$4,$V155-4,0))</f>
        <v>Pforzheim</v>
      </c>
      <c r="J155" s="219" t="str">
        <f ca="1">IF(ISERROR($V155),"",OFFSET('Smelter Look-up'!$I$4,$V155-4,0))</f>
        <v>Baden-Württemberg</v>
      </c>
      <c r="K155" s="273"/>
      <c r="L155" s="273"/>
      <c r="M155" s="273"/>
      <c r="N155" s="273"/>
      <c r="O155" s="273"/>
      <c r="P155" s="220"/>
      <c r="Q155" s="274"/>
      <c r="R155" s="217" t="str">
        <f ca="1">IF(ISERROR($V155),"",OFFSET('Smelter Look-up'!$C$4,$V155-4,0)&amp;"")</f>
        <v>Heimerle + Meule GmbH</v>
      </c>
      <c r="S155" s="225" t="str">
        <f t="shared" ca="1" si="21"/>
        <v>DE</v>
      </c>
      <c r="T155" s="225" t="str">
        <f ca="1">IF(B155="","",IF(ISERROR(MATCH($J155,SorP!$B$1:$B$6230,0)),"",INDIRECT("'SorP'!$A$"&amp;MATCH($J155,SorP!$B$1:$B$6230,0))))</f>
        <v>DE-BW</v>
      </c>
      <c r="U155" s="241"/>
      <c r="V155" s="275">
        <f>IF(C155="",NA(),MATCH($B155&amp;$C155,'Smelter Look-up'!$J:$J,0))</f>
        <v>92</v>
      </c>
      <c r="W155" s="276"/>
      <c r="X155" s="276">
        <f t="shared" si="22"/>
        <v>0</v>
      </c>
      <c r="Y155" s="276"/>
      <c r="Z155" s="276"/>
      <c r="AB155" s="278" t="str">
        <f t="shared" si="23"/>
        <v>GoldHeimerle + Meule GmbH</v>
      </c>
    </row>
    <row r="156" spans="1:28" s="277" customFormat="1" ht="40.5">
      <c r="A156" s="216"/>
      <c r="B156" s="217" t="s">
        <v>1153</v>
      </c>
      <c r="C156" s="221" t="s">
        <v>1898</v>
      </c>
      <c r="D156" s="283" t="s">
        <v>15601</v>
      </c>
      <c r="E156" s="217" t="s">
        <v>1123</v>
      </c>
      <c r="F156" s="217" t="s">
        <v>14250</v>
      </c>
      <c r="G156" s="217" t="s">
        <v>14250</v>
      </c>
      <c r="H156" s="218">
        <f ca="1">IF(ISERROR($V156),"",OFFSET('Smelter Look-up'!$G$4,$V156-4,0))</f>
        <v>0</v>
      </c>
      <c r="I156" s="219">
        <f ca="1">IF(ISERROR($V156),"",OFFSET('Smelter Look-up'!$H$4,$V156-4,0))</f>
        <v>0</v>
      </c>
      <c r="J156" s="219">
        <f ca="1">IF(ISERROR($V156),"",OFFSET('Smelter Look-up'!$I$4,$V156-4,0))</f>
        <v>0</v>
      </c>
      <c r="K156" s="273"/>
      <c r="L156" s="273"/>
      <c r="M156" s="273"/>
      <c r="N156" s="273"/>
      <c r="O156" s="273"/>
      <c r="P156" s="220"/>
      <c r="Q156" s="274"/>
      <c r="R156" s="217" t="str">
        <f ca="1">IF(ISERROR($V156),"",OFFSET('Smelter Look-up'!$C$4,$V156-4,0)&amp;"")</f>
        <v/>
      </c>
      <c r="S156" s="225" t="str">
        <f t="shared" ca="1" si="21"/>
        <v>CN</v>
      </c>
      <c r="T156" s="225" t="str">
        <f ca="1">IF(B156="","",IF(ISERROR(MATCH($J156,SorP!$B$1:$B$6230,0)),"",INDIRECT("'SorP'!$A$"&amp;MATCH($J156,SorP!$B$1:$B$6230,0))))</f>
        <v/>
      </c>
      <c r="U156" s="241"/>
      <c r="V156" s="275">
        <f>IF(C156="",NA(),MATCH($B156&amp;$C156,'Smelter Look-up'!$J:$J,0))</f>
        <v>293</v>
      </c>
      <c r="W156" s="276"/>
      <c r="X156" s="276">
        <f t="shared" si="22"/>
        <v>0</v>
      </c>
      <c r="Y156" s="276"/>
      <c r="Z156" s="276"/>
      <c r="AB156" s="278" t="str">
        <f t="shared" si="23"/>
        <v>GoldSmelter not listed</v>
      </c>
    </row>
    <row r="157" spans="1:28" s="277" customFormat="1" ht="121.5">
      <c r="A157" s="216"/>
      <c r="B157" s="217" t="s">
        <v>1155</v>
      </c>
      <c r="C157" s="221" t="s">
        <v>4</v>
      </c>
      <c r="D157" s="283" t="s">
        <v>4</v>
      </c>
      <c r="E157" s="217" t="s">
        <v>1123</v>
      </c>
      <c r="F157" s="217" t="s">
        <v>406</v>
      </c>
      <c r="G157" s="217" t="s">
        <v>15513</v>
      </c>
      <c r="H157" s="218">
        <f ca="1">IF(ISERROR($V157),"",OFFSET('Smelter Look-up'!$G$4,$V157-4,0))</f>
        <v>0</v>
      </c>
      <c r="I157" s="219" t="str">
        <f ca="1">IF(ISERROR($V157),"",OFFSET('Smelter Look-up'!$H$4,$V157-4,0))</f>
        <v>Hengyang</v>
      </c>
      <c r="J157" s="219" t="str">
        <f ca="1">IF(ISERROR($V157),"",OFFSET('Smelter Look-up'!$I$4,$V157-4,0))</f>
        <v>Hunan Sheng</v>
      </c>
      <c r="K157" s="273"/>
      <c r="L157" s="273"/>
      <c r="M157" s="273"/>
      <c r="N157" s="273"/>
      <c r="O157" s="273"/>
      <c r="P157" s="220"/>
      <c r="Q157" s="274"/>
      <c r="R157" s="217" t="str">
        <f ca="1">IF(ISERROR($V157),"",OFFSET('Smelter Look-up'!$C$4,$V157-4,0)&amp;"")</f>
        <v>Hengyang King Xing Lifeng New Materials Co., Ltd.</v>
      </c>
      <c r="S157" s="225" t="str">
        <f t="shared" ca="1" si="21"/>
        <v>CN</v>
      </c>
      <c r="T157" s="225" t="str">
        <f ca="1">IF(B157="","",IF(ISERROR(MATCH($J157,SorP!$B$1:$B$6230,0)),"",INDIRECT("'SorP'!$A$"&amp;MATCH($J157,SorP!$B$1:$B$6230,0))))</f>
        <v>CN-HN</v>
      </c>
      <c r="U157" s="241"/>
      <c r="V157" s="275">
        <f>IF(C157="",NA(),MATCH($B157&amp;$C157,'Smelter Look-up'!$J:$J,0))</f>
        <v>313</v>
      </c>
      <c r="W157" s="276"/>
      <c r="X157" s="276">
        <f t="shared" si="22"/>
        <v>0</v>
      </c>
      <c r="Y157" s="276"/>
      <c r="Z157" s="276"/>
      <c r="AB157" s="278" t="str">
        <f t="shared" si="23"/>
        <v>TantalumHengyang King Xing Lifeng New Materials Co., Ltd.</v>
      </c>
    </row>
    <row r="158" spans="1:28" s="277" customFormat="1" ht="40.5">
      <c r="A158" s="216"/>
      <c r="B158" s="217" t="s">
        <v>1153</v>
      </c>
      <c r="C158" s="221" t="s">
        <v>1898</v>
      </c>
      <c r="D158" s="283" t="s">
        <v>15602</v>
      </c>
      <c r="E158" s="217" t="s">
        <v>1123</v>
      </c>
      <c r="F158" s="217" t="s">
        <v>14250</v>
      </c>
      <c r="G158" s="217" t="s">
        <v>14250</v>
      </c>
      <c r="H158" s="218" t="s">
        <v>15603</v>
      </c>
      <c r="I158" s="219" t="s">
        <v>1618</v>
      </c>
      <c r="J158" s="219" t="s">
        <v>15604</v>
      </c>
      <c r="K158" s="273" t="s">
        <v>15605</v>
      </c>
      <c r="L158" s="273" t="s">
        <v>15605</v>
      </c>
      <c r="M158" s="273" t="s">
        <v>12942</v>
      </c>
      <c r="N158" s="273" t="s">
        <v>15606</v>
      </c>
      <c r="O158" s="273" t="s">
        <v>15607</v>
      </c>
      <c r="P158" s="220" t="s">
        <v>499</v>
      </c>
      <c r="Q158" s="274"/>
      <c r="R158" s="217" t="str">
        <f ca="1">IF(ISERROR($V158),"",OFFSET('Smelter Look-up'!$C$4,$V158-4,0)&amp;"")</f>
        <v/>
      </c>
      <c r="S158" s="225" t="str">
        <f t="shared" ca="1" si="21"/>
        <v>CN</v>
      </c>
      <c r="T158" s="225" t="str">
        <f ca="1">IF(B158="","",IF(ISERROR(MATCH($J158,SorP!$B$1:$B$6230,0)),"",INDIRECT("'SorP'!$A$"&amp;MATCH($J158,SorP!$B$1:$B$6230,0))))</f>
        <v/>
      </c>
      <c r="U158" s="241"/>
      <c r="V158" s="275">
        <f>IF(C158="",NA(),MATCH($B158&amp;$C158,'Smelter Look-up'!$J:$J,0))</f>
        <v>293</v>
      </c>
      <c r="W158" s="276"/>
      <c r="X158" s="276">
        <f t="shared" si="22"/>
        <v>0</v>
      </c>
      <c r="Y158" s="276"/>
      <c r="Z158" s="276"/>
      <c r="AB158" s="278" t="str">
        <f t="shared" si="23"/>
        <v>GoldSmelter not listed</v>
      </c>
    </row>
    <row r="159" spans="1:28" s="277" customFormat="1" ht="81">
      <c r="A159" s="216"/>
      <c r="B159" s="217" t="s">
        <v>1153</v>
      </c>
      <c r="C159" s="221" t="s">
        <v>2647</v>
      </c>
      <c r="D159" s="283" t="s">
        <v>2647</v>
      </c>
      <c r="E159" s="217" t="s">
        <v>1123</v>
      </c>
      <c r="F159" s="217" t="s">
        <v>695</v>
      </c>
      <c r="G159" s="217" t="s">
        <v>15513</v>
      </c>
      <c r="H159" s="218">
        <f ca="1">IF(ISERROR($V159),"",OFFSET('Smelter Look-up'!$G$4,$V159-4,0))</f>
        <v>0</v>
      </c>
      <c r="I159" s="219" t="str">
        <f ca="1">IF(ISERROR($V159),"",OFFSET('Smelter Look-up'!$H$4,$V159-4,0))</f>
        <v>Fanling</v>
      </c>
      <c r="J159" s="219" t="str">
        <f ca="1">IF(ISERROR($V159),"",OFFSET('Smelter Look-up'!$I$4,$V159-4,0))</f>
        <v>Hong Kong SAR</v>
      </c>
      <c r="K159" s="273"/>
      <c r="L159" s="273"/>
      <c r="M159" s="273"/>
      <c r="N159" s="273"/>
      <c r="O159" s="273"/>
      <c r="P159" s="220"/>
      <c r="Q159" s="274"/>
      <c r="R159" s="217" t="str">
        <f ca="1">IF(ISERROR($V159),"",OFFSET('Smelter Look-up'!$C$4,$V159-4,0)&amp;"")</f>
        <v>Heraeus Metals Hong Kong Ltd.</v>
      </c>
      <c r="S159" s="225" t="str">
        <f t="shared" ca="1" si="21"/>
        <v>CN</v>
      </c>
      <c r="T159" s="225" t="str">
        <f ca="1">IF(B159="","",IF(ISERROR(MATCH($J159,SorP!$B$1:$B$6230,0)),"",INDIRECT("'SorP'!$A$"&amp;MATCH($J159,SorP!$B$1:$B$6230,0))))</f>
        <v>CN-HK</v>
      </c>
      <c r="U159" s="241"/>
      <c r="V159" s="275">
        <f>IF(C159="",NA(),MATCH($B159&amp;$C159,'Smelter Look-up'!$J:$J,0))</f>
        <v>97</v>
      </c>
      <c r="W159" s="276"/>
      <c r="X159" s="276">
        <f t="shared" si="22"/>
        <v>0</v>
      </c>
      <c r="Y159" s="276"/>
      <c r="Z159" s="276"/>
      <c r="AB159" s="278" t="str">
        <f t="shared" si="23"/>
        <v>GoldHeraeus Metals Hong Kong Ltd.</v>
      </c>
    </row>
    <row r="160" spans="1:28" s="277" customFormat="1" ht="81">
      <c r="A160" s="216"/>
      <c r="B160" s="217" t="s">
        <v>1153</v>
      </c>
      <c r="C160" s="221" t="s">
        <v>1250</v>
      </c>
      <c r="D160" s="283" t="s">
        <v>1250</v>
      </c>
      <c r="E160" s="217" t="s">
        <v>1124</v>
      </c>
      <c r="F160" s="217" t="s">
        <v>696</v>
      </c>
      <c r="G160" s="217" t="s">
        <v>15513</v>
      </c>
      <c r="H160" s="218">
        <f ca="1">IF(ISERROR($V160),"",OFFSET('Smelter Look-up'!$G$4,$V160-4,0))</f>
        <v>0</v>
      </c>
      <c r="I160" s="219" t="str">
        <f ca="1">IF(ISERROR($V160),"",OFFSET('Smelter Look-up'!$H$4,$V160-4,0))</f>
        <v>Hanau</v>
      </c>
      <c r="J160" s="219" t="str">
        <f ca="1">IF(ISERROR($V160),"",OFFSET('Smelter Look-up'!$I$4,$V160-4,0))</f>
        <v>Hessen</v>
      </c>
      <c r="K160" s="273"/>
      <c r="L160" s="273"/>
      <c r="M160" s="273"/>
      <c r="N160" s="273"/>
      <c r="O160" s="273"/>
      <c r="P160" s="220"/>
      <c r="Q160" s="274"/>
      <c r="R160" s="217" t="str">
        <f ca="1">IF(ISERROR($V160),"",OFFSET('Smelter Look-up'!$C$4,$V160-4,0)&amp;"")</f>
        <v>Heraeus Precious Metals GmbH &amp; Co. KG</v>
      </c>
      <c r="S160" s="225" t="str">
        <f t="shared" ca="1" si="21"/>
        <v>DE</v>
      </c>
      <c r="T160" s="225" t="str">
        <f ca="1">IF(B160="","",IF(ISERROR(MATCH($J160,SorP!$B$1:$B$6230,0)),"",INDIRECT("'SorP'!$A$"&amp;MATCH($J160,SorP!$B$1:$B$6230,0))))</f>
        <v>DE-HE</v>
      </c>
      <c r="U160" s="241"/>
      <c r="V160" s="275">
        <f>IF(C160="",NA(),MATCH($B160&amp;$C160,'Smelter Look-up'!$J:$J,0))</f>
        <v>98</v>
      </c>
      <c r="W160" s="276"/>
      <c r="X160" s="276">
        <f t="shared" si="22"/>
        <v>0</v>
      </c>
      <c r="Y160" s="276"/>
      <c r="Z160" s="276"/>
      <c r="AB160" s="278" t="str">
        <f t="shared" si="23"/>
        <v>GoldHeraeus Precious Metals GmbH &amp; Co. KG</v>
      </c>
    </row>
    <row r="161" spans="1:28" s="277" customFormat="1" ht="40.5">
      <c r="A161" s="216"/>
      <c r="B161" s="217" t="s">
        <v>1153</v>
      </c>
      <c r="C161" s="221" t="s">
        <v>1898</v>
      </c>
      <c r="D161" s="283" t="s">
        <v>15608</v>
      </c>
      <c r="E161" s="217" t="s">
        <v>1123</v>
      </c>
      <c r="F161" s="217" t="s">
        <v>14250</v>
      </c>
      <c r="G161" s="217" t="s">
        <v>14250</v>
      </c>
      <c r="H161" s="218">
        <f ca="1">IF(ISERROR($V161),"",OFFSET('Smelter Look-up'!$G$4,$V161-4,0))</f>
        <v>0</v>
      </c>
      <c r="I161" s="219">
        <f ca="1">IF(ISERROR($V161),"",OFFSET('Smelter Look-up'!$H$4,$V161-4,0))</f>
        <v>0</v>
      </c>
      <c r="J161" s="219">
        <f ca="1">IF(ISERROR($V161),"",OFFSET('Smelter Look-up'!$I$4,$V161-4,0))</f>
        <v>0</v>
      </c>
      <c r="K161" s="273"/>
      <c r="L161" s="273"/>
      <c r="M161" s="273"/>
      <c r="N161" s="273"/>
      <c r="O161" s="273"/>
      <c r="P161" s="220"/>
      <c r="Q161" s="274"/>
      <c r="R161" s="217" t="str">
        <f ca="1">IF(ISERROR($V161),"",OFFSET('Smelter Look-up'!$C$4,$V161-4,0)&amp;"")</f>
        <v/>
      </c>
      <c r="S161" s="225" t="str">
        <f t="shared" ca="1" si="21"/>
        <v>CN</v>
      </c>
      <c r="T161" s="225" t="str">
        <f ca="1">IF(B161="","",IF(ISERROR(MATCH($J161,SorP!$B$1:$B$6230,0)),"",INDIRECT("'SorP'!$A$"&amp;MATCH($J161,SorP!$B$1:$B$6230,0))))</f>
        <v/>
      </c>
      <c r="U161" s="241"/>
      <c r="V161" s="275">
        <f>IF(C161="",NA(),MATCH($B161&amp;$C161,'Smelter Look-up'!$J:$J,0))</f>
        <v>293</v>
      </c>
      <c r="W161" s="276"/>
      <c r="X161" s="276">
        <f t="shared" si="22"/>
        <v>0</v>
      </c>
      <c r="Y161" s="276"/>
      <c r="Z161" s="276"/>
      <c r="AB161" s="278" t="str">
        <f t="shared" si="23"/>
        <v>GoldSmelter not listed</v>
      </c>
    </row>
    <row r="162" spans="1:28" s="277" customFormat="1" ht="40.5">
      <c r="A162" s="216"/>
      <c r="B162" s="217" t="s">
        <v>1154</v>
      </c>
      <c r="C162" s="221" t="s">
        <v>1898</v>
      </c>
      <c r="D162" s="283" t="s">
        <v>15609</v>
      </c>
      <c r="E162" s="217" t="s">
        <v>1123</v>
      </c>
      <c r="F162" s="217" t="s">
        <v>14250</v>
      </c>
      <c r="G162" s="217" t="s">
        <v>14250</v>
      </c>
      <c r="H162" s="218">
        <f ca="1">IF(ISERROR($V162),"",OFFSET('Smelter Look-up'!$G$4,$V162-4,0))</f>
        <v>0</v>
      </c>
      <c r="I162" s="219">
        <f ca="1">IF(ISERROR($V162),"",OFFSET('Smelter Look-up'!$H$4,$V162-4,0))</f>
        <v>0</v>
      </c>
      <c r="J162" s="219">
        <f ca="1">IF(ISERROR($V162),"",OFFSET('Smelter Look-up'!$I$4,$V162-4,0))</f>
        <v>0</v>
      </c>
      <c r="K162" s="273"/>
      <c r="L162" s="273"/>
      <c r="M162" s="273"/>
      <c r="N162" s="273"/>
      <c r="O162" s="273"/>
      <c r="P162" s="220"/>
      <c r="Q162" s="274"/>
      <c r="R162" s="217" t="str">
        <f ca="1">IF(ISERROR($V162),"",OFFSET('Smelter Look-up'!$C$4,$V162-4,0)&amp;"")</f>
        <v/>
      </c>
      <c r="S162" s="225" t="str">
        <f t="shared" ca="1" si="21"/>
        <v>CN</v>
      </c>
      <c r="T162" s="225" t="str">
        <f ca="1">IF(B162="","",IF(ISERROR(MATCH($J162,SorP!$B$1:$B$6230,0)),"",INDIRECT("'SorP'!$A$"&amp;MATCH($J162,SorP!$B$1:$B$6230,0))))</f>
        <v/>
      </c>
      <c r="U162" s="241"/>
      <c r="V162" s="275">
        <f>IF(C162="",NA(),MATCH($B162&amp;$C162,'Smelter Look-up'!$J:$J,0))</f>
        <v>484</v>
      </c>
      <c r="W162" s="276"/>
      <c r="X162" s="276">
        <f t="shared" si="22"/>
        <v>0</v>
      </c>
      <c r="Y162" s="276"/>
      <c r="Z162" s="276"/>
      <c r="AB162" s="278" t="str">
        <f t="shared" si="23"/>
        <v>TinSmelter not listed</v>
      </c>
    </row>
    <row r="163" spans="1:28" s="277" customFormat="1" ht="81">
      <c r="A163" s="216"/>
      <c r="B163" s="217" t="s">
        <v>1155</v>
      </c>
      <c r="C163" s="221" t="s">
        <v>1898</v>
      </c>
      <c r="D163" s="283" t="s">
        <v>15610</v>
      </c>
      <c r="E163" s="217" t="s">
        <v>2576</v>
      </c>
      <c r="F163" s="217" t="s">
        <v>15611</v>
      </c>
      <c r="G163" s="217" t="s">
        <v>15513</v>
      </c>
      <c r="H163" s="218">
        <f ca="1">IF(ISERROR($V163),"",OFFSET('Smelter Look-up'!$G$4,$V163-4,0))</f>
        <v>0</v>
      </c>
      <c r="I163" s="219">
        <f ca="1">IF(ISERROR($V163),"",OFFSET('Smelter Look-up'!$H$4,$V163-4,0))</f>
        <v>0</v>
      </c>
      <c r="J163" s="219">
        <f ca="1">IF(ISERROR($V163),"",OFFSET('Smelter Look-up'!$I$4,$V163-4,0))</f>
        <v>0</v>
      </c>
      <c r="K163" s="273"/>
      <c r="L163" s="273"/>
      <c r="M163" s="273"/>
      <c r="N163" s="273"/>
      <c r="O163" s="273"/>
      <c r="P163" s="220"/>
      <c r="Q163" s="274" t="s">
        <v>15525</v>
      </c>
      <c r="R163" s="217" t="str">
        <f ca="1">IF(ISERROR($V163),"",OFFSET('Smelter Look-up'!$C$4,$V163-4,0)&amp;"")</f>
        <v/>
      </c>
      <c r="S163" s="225" t="str">
        <f t="shared" ca="1" si="21"/>
        <v>US</v>
      </c>
      <c r="T163" s="225" t="str">
        <f ca="1">IF(B163="","",IF(ISERROR(MATCH($J163,SorP!$B$1:$B$6230,0)),"",INDIRECT("'SorP'!$A$"&amp;MATCH($J163,SorP!$B$1:$B$6230,0))))</f>
        <v/>
      </c>
      <c r="U163" s="241"/>
      <c r="V163" s="275">
        <f>IF(C163="",NA(),MATCH($B163&amp;$C163,'Smelter Look-up'!$J:$J,0))</f>
        <v>353</v>
      </c>
      <c r="W163" s="276"/>
      <c r="X163" s="276">
        <f t="shared" si="22"/>
        <v>0</v>
      </c>
      <c r="Y163" s="276"/>
      <c r="Z163" s="276"/>
      <c r="AB163" s="278" t="str">
        <f t="shared" si="23"/>
        <v>TantalumSmelter not listed</v>
      </c>
    </row>
    <row r="164" spans="1:28" s="277" customFormat="1" ht="40.5">
      <c r="A164" s="216"/>
      <c r="B164" s="217" t="s">
        <v>1154</v>
      </c>
      <c r="C164" s="221" t="s">
        <v>1898</v>
      </c>
      <c r="D164" s="283" t="s">
        <v>15612</v>
      </c>
      <c r="E164" s="217" t="s">
        <v>1123</v>
      </c>
      <c r="F164" s="217" t="s">
        <v>14250</v>
      </c>
      <c r="G164" s="217" t="s">
        <v>14250</v>
      </c>
      <c r="H164" s="218">
        <f ca="1">IF(ISERROR($V164),"",OFFSET('Smelter Look-up'!$G$4,$V164-4,0))</f>
        <v>0</v>
      </c>
      <c r="I164" s="219">
        <f ca="1">IF(ISERROR($V164),"",OFFSET('Smelter Look-up'!$H$4,$V164-4,0))</f>
        <v>0</v>
      </c>
      <c r="J164" s="219">
        <f ca="1">IF(ISERROR($V164),"",OFFSET('Smelter Look-up'!$I$4,$V164-4,0))</f>
        <v>0</v>
      </c>
      <c r="K164" s="273"/>
      <c r="L164" s="273"/>
      <c r="M164" s="273"/>
      <c r="N164" s="273"/>
      <c r="O164" s="273"/>
      <c r="P164" s="220"/>
      <c r="Q164" s="274"/>
      <c r="R164" s="217" t="str">
        <f ca="1">IF(ISERROR($V164),"",OFFSET('Smelter Look-up'!$C$4,$V164-4,0)&amp;"")</f>
        <v/>
      </c>
      <c r="S164" s="225" t="str">
        <f t="shared" ca="1" si="21"/>
        <v>CN</v>
      </c>
      <c r="T164" s="225" t="str">
        <f ca="1">IF(B164="","",IF(ISERROR(MATCH($J164,SorP!$B$1:$B$6230,0)),"",INDIRECT("'SorP'!$A$"&amp;MATCH($J164,SorP!$B$1:$B$6230,0))))</f>
        <v/>
      </c>
      <c r="U164" s="241"/>
      <c r="V164" s="275">
        <f>IF(C164="",NA(),MATCH($B164&amp;$C164,'Smelter Look-up'!$J:$J,0))</f>
        <v>484</v>
      </c>
      <c r="W164" s="276"/>
      <c r="X164" s="276">
        <f t="shared" si="22"/>
        <v>0</v>
      </c>
      <c r="Y164" s="276"/>
      <c r="Z164" s="276"/>
      <c r="AB164" s="278" t="str">
        <f t="shared" si="23"/>
        <v>TinSmelter not listed</v>
      </c>
    </row>
    <row r="165" spans="1:28" s="277" customFormat="1" ht="40.5">
      <c r="A165" s="216"/>
      <c r="B165" s="217" t="s">
        <v>1153</v>
      </c>
      <c r="C165" s="221" t="s">
        <v>1898</v>
      </c>
      <c r="D165" s="283" t="s">
        <v>15613</v>
      </c>
      <c r="E165" s="217" t="s">
        <v>1123</v>
      </c>
      <c r="F165" s="217" t="s">
        <v>14250</v>
      </c>
      <c r="G165" s="217" t="s">
        <v>14250</v>
      </c>
      <c r="H165" s="218">
        <f ca="1">IF(ISERROR($V165),"",OFFSET('Smelter Look-up'!$G$4,$V165-4,0))</f>
        <v>0</v>
      </c>
      <c r="I165" s="219">
        <f ca="1">IF(ISERROR($V165),"",OFFSET('Smelter Look-up'!$H$4,$V165-4,0))</f>
        <v>0</v>
      </c>
      <c r="J165" s="219">
        <f ca="1">IF(ISERROR($V165),"",OFFSET('Smelter Look-up'!$I$4,$V165-4,0))</f>
        <v>0</v>
      </c>
      <c r="K165" s="273"/>
      <c r="L165" s="273"/>
      <c r="M165" s="273"/>
      <c r="N165" s="273"/>
      <c r="O165" s="273"/>
      <c r="P165" s="220"/>
      <c r="Q165" s="274"/>
      <c r="R165" s="217" t="str">
        <f ca="1">IF(ISERROR($V165),"",OFFSET('Smelter Look-up'!$C$4,$V165-4,0)&amp;"")</f>
        <v/>
      </c>
      <c r="S165" s="225" t="str">
        <f t="shared" ca="1" si="21"/>
        <v>CN</v>
      </c>
      <c r="T165" s="225" t="str">
        <f ca="1">IF(B165="","",IF(ISERROR(MATCH($J165,SorP!$B$1:$B$6230,0)),"",INDIRECT("'SorP'!$A$"&amp;MATCH($J165,SorP!$B$1:$B$6230,0))))</f>
        <v/>
      </c>
      <c r="U165" s="241"/>
      <c r="V165" s="275">
        <f>IF(C165="",NA(),MATCH($B165&amp;$C165,'Smelter Look-up'!$J:$J,0))</f>
        <v>293</v>
      </c>
      <c r="W165" s="276"/>
      <c r="X165" s="276">
        <f t="shared" si="22"/>
        <v>0</v>
      </c>
      <c r="Y165" s="276"/>
      <c r="Z165" s="276"/>
      <c r="AB165" s="278" t="str">
        <f t="shared" si="23"/>
        <v>GoldSmelter not listed</v>
      </c>
    </row>
    <row r="166" spans="1:28" s="277" customFormat="1" ht="67.5">
      <c r="A166" s="216"/>
      <c r="B166" s="217" t="s">
        <v>1154</v>
      </c>
      <c r="C166" s="221" t="s">
        <v>2401</v>
      </c>
      <c r="D166" s="283" t="s">
        <v>2401</v>
      </c>
      <c r="E166" s="217" t="s">
        <v>1123</v>
      </c>
      <c r="F166" s="217" t="s">
        <v>2402</v>
      </c>
      <c r="G166" s="217" t="s">
        <v>15513</v>
      </c>
      <c r="H166" s="218">
        <f ca="1">IF(ISERROR($V166),"",OFFSET('Smelter Look-up'!$G$4,$V166-4,0))</f>
        <v>0</v>
      </c>
      <c r="I166" s="219" t="str">
        <f ca="1">IF(ISERROR($V166),"",OFFSET('Smelter Look-up'!$H$4,$V166-4,0))</f>
        <v>Ganzhou</v>
      </c>
      <c r="J166" s="219" t="str">
        <f ca="1">IF(ISERROR($V166),"",OFFSET('Smelter Look-up'!$I$4,$V166-4,0))</f>
        <v>Jiangxi Sheng</v>
      </c>
      <c r="K166" s="273"/>
      <c r="L166" s="273"/>
      <c r="M166" s="273"/>
      <c r="N166" s="273"/>
      <c r="O166" s="273"/>
      <c r="P166" s="220"/>
      <c r="Q166" s="274"/>
      <c r="R166" s="217" t="str">
        <f ca="1">IF(ISERROR($V166),"",OFFSET('Smelter Look-up'!$C$4,$V166-4,0)&amp;"")</f>
        <v>HuiChang Hill Tin Industry Co., Ltd.</v>
      </c>
      <c r="S166" s="225" t="str">
        <f t="shared" ref="S166:S196" ca="1" si="24">IF(B166="","",IF(ISERROR(MATCH($E166,CL,0)),"Unknown",INDIRECT("'C'!$A$"&amp;MATCH($E166,CL,0)+1)))</f>
        <v>CN</v>
      </c>
      <c r="T166" s="225" t="str">
        <f ca="1">IF(B166="","",IF(ISERROR(MATCH($J166,SorP!$B$1:$B$6230,0)),"",INDIRECT("'SorP'!$A$"&amp;MATCH($J166,SorP!$B$1:$B$6230,0))))</f>
        <v>CN-JX</v>
      </c>
      <c r="U166" s="241"/>
      <c r="V166" s="275">
        <f>IF(C166="",NA(),MATCH($B166&amp;$C166,'Smelter Look-up'!$J:$J,0))</f>
        <v>399</v>
      </c>
      <c r="W166" s="276"/>
      <c r="X166" s="276">
        <f t="shared" ref="X166:X196" si="25">IF(AND(C166="Smelter not listed",OR(LEN(D166)=0,LEN(E166)=0)),1,0)</f>
        <v>0</v>
      </c>
      <c r="Y166" s="276"/>
      <c r="Z166" s="276"/>
      <c r="AB166" s="278" t="str">
        <f t="shared" ref="AB166:AB196" si="26">B166&amp;C166</f>
        <v>TinHuiChang Hill Tin Industry Co., Ltd.</v>
      </c>
    </row>
    <row r="167" spans="1:28" s="277" customFormat="1" ht="67.5">
      <c r="A167" s="216"/>
      <c r="B167" s="217" t="s">
        <v>1154</v>
      </c>
      <c r="C167" s="221" t="s">
        <v>2249</v>
      </c>
      <c r="D167" s="283" t="s">
        <v>2249</v>
      </c>
      <c r="E167" s="217" t="s">
        <v>1123</v>
      </c>
      <c r="F167" s="217" t="s">
        <v>789</v>
      </c>
      <c r="G167" s="217" t="s">
        <v>15513</v>
      </c>
      <c r="H167" s="218">
        <f ca="1">IF(ISERROR($V167),"",OFFSET('Smelter Look-up'!$G$4,$V167-4,0))</f>
        <v>0</v>
      </c>
      <c r="I167" s="219" t="str">
        <f ca="1">IF(ISERROR($V167),"",OFFSET('Smelter Look-up'!$H$4,$V167-4,0))</f>
        <v>Ganzhou</v>
      </c>
      <c r="J167" s="219" t="str">
        <f ca="1">IF(ISERROR($V167),"",OFFSET('Smelter Look-up'!$I$4,$V167-4,0))</f>
        <v>Jiangxi Sheng</v>
      </c>
      <c r="K167" s="273"/>
      <c r="L167" s="273"/>
      <c r="M167" s="273"/>
      <c r="N167" s="273"/>
      <c r="O167" s="273"/>
      <c r="P167" s="220"/>
      <c r="Q167" s="274"/>
      <c r="R167" s="217" t="str">
        <f ca="1">IF(ISERROR($V167),"",OFFSET('Smelter Look-up'!$C$4,$V167-4,0)&amp;"")</f>
        <v>Huichang Jinshunda Tin Co., Ltd.</v>
      </c>
      <c r="S167" s="225" t="str">
        <f t="shared" ca="1" si="24"/>
        <v>CN</v>
      </c>
      <c r="T167" s="225" t="str">
        <f ca="1">IF(B167="","",IF(ISERROR(MATCH($J167,SorP!$B$1:$B$6230,0)),"",INDIRECT("'SorP'!$A$"&amp;MATCH($J167,SorP!$B$1:$B$6230,0))))</f>
        <v>CN-JX</v>
      </c>
      <c r="U167" s="241"/>
      <c r="V167" s="275">
        <f>IF(C167="",NA(),MATCH($B167&amp;$C167,'Smelter Look-up'!$J:$J,0))</f>
        <v>400</v>
      </c>
      <c r="W167" s="276"/>
      <c r="X167" s="276">
        <f t="shared" si="25"/>
        <v>0</v>
      </c>
      <c r="Y167" s="276"/>
      <c r="Z167" s="276"/>
      <c r="AB167" s="278" t="str">
        <f t="shared" si="26"/>
        <v>TinHuichang Jinshunda Tin Co., Ltd.</v>
      </c>
    </row>
    <row r="168" spans="1:28" s="277" customFormat="1" ht="40.5">
      <c r="A168" s="216"/>
      <c r="B168" s="217" t="s">
        <v>1154</v>
      </c>
      <c r="C168" s="221" t="s">
        <v>1898</v>
      </c>
      <c r="D168" s="283" t="s">
        <v>15614</v>
      </c>
      <c r="E168" s="217" t="s">
        <v>1123</v>
      </c>
      <c r="F168" s="217" t="s">
        <v>14250</v>
      </c>
      <c r="G168" s="217" t="s">
        <v>14250</v>
      </c>
      <c r="H168" s="218">
        <f ca="1">IF(ISERROR($V168),"",OFFSET('Smelter Look-up'!$G$4,$V168-4,0))</f>
        <v>0</v>
      </c>
      <c r="I168" s="219">
        <f ca="1">IF(ISERROR($V168),"",OFFSET('Smelter Look-up'!$H$4,$V168-4,0))</f>
        <v>0</v>
      </c>
      <c r="J168" s="219">
        <f ca="1">IF(ISERROR($V168),"",OFFSET('Smelter Look-up'!$I$4,$V168-4,0))</f>
        <v>0</v>
      </c>
      <c r="K168" s="273"/>
      <c r="L168" s="273"/>
      <c r="M168" s="273"/>
      <c r="N168" s="273"/>
      <c r="O168" s="273"/>
      <c r="P168" s="220"/>
      <c r="Q168" s="274"/>
      <c r="R168" s="217" t="str">
        <f ca="1">IF(ISERROR($V168),"",OFFSET('Smelter Look-up'!$C$4,$V168-4,0)&amp;"")</f>
        <v/>
      </c>
      <c r="S168" s="225" t="str">
        <f t="shared" ca="1" si="24"/>
        <v>CN</v>
      </c>
      <c r="T168" s="225" t="str">
        <f ca="1">IF(B168="","",IF(ISERROR(MATCH($J168,SorP!$B$1:$B$6230,0)),"",INDIRECT("'SorP'!$A$"&amp;MATCH($J168,SorP!$B$1:$B$6230,0))))</f>
        <v/>
      </c>
      <c r="U168" s="241"/>
      <c r="V168" s="275">
        <f>IF(C168="",NA(),MATCH($B168&amp;$C168,'Smelter Look-up'!$J:$J,0))</f>
        <v>484</v>
      </c>
      <c r="W168" s="276"/>
      <c r="X168" s="276">
        <f t="shared" si="25"/>
        <v>0</v>
      </c>
      <c r="Y168" s="276"/>
      <c r="Z168" s="276"/>
      <c r="AB168" s="278" t="str">
        <f t="shared" si="26"/>
        <v>TinSmelter not listed</v>
      </c>
    </row>
    <row r="169" spans="1:28" s="277" customFormat="1" ht="67.5">
      <c r="A169" s="216"/>
      <c r="B169" s="217" t="s">
        <v>1153</v>
      </c>
      <c r="C169" s="221" t="s">
        <v>2324</v>
      </c>
      <c r="D169" s="283" t="s">
        <v>2324</v>
      </c>
      <c r="E169" s="217" t="s">
        <v>1123</v>
      </c>
      <c r="F169" s="217" t="s">
        <v>697</v>
      </c>
      <c r="G169" s="217" t="s">
        <v>15513</v>
      </c>
      <c r="H169" s="218">
        <f ca="1">IF(ISERROR($V169),"",OFFSET('Smelter Look-up'!$G$4,$V169-4,0))</f>
        <v>0</v>
      </c>
      <c r="I169" s="219" t="str">
        <f ca="1">IF(ISERROR($V169),"",OFFSET('Smelter Look-up'!$H$4,$V169-4,0))</f>
        <v>Yuanling</v>
      </c>
      <c r="J169" s="219" t="str">
        <f ca="1">IF(ISERROR($V169),"",OFFSET('Smelter Look-up'!$I$4,$V169-4,0))</f>
        <v>Hunan Sheng</v>
      </c>
      <c r="K169" s="273"/>
      <c r="L169" s="273"/>
      <c r="M169" s="273"/>
      <c r="N169" s="273"/>
      <c r="O169" s="273"/>
      <c r="P169" s="220"/>
      <c r="Q169" s="274"/>
      <c r="R169" s="217" t="str">
        <f ca="1">IF(ISERROR($V169),"",OFFSET('Smelter Look-up'!$C$4,$V169-4,0)&amp;"")</f>
        <v>Hunan Chenzhou Mining Co., Ltd.</v>
      </c>
      <c r="S169" s="225" t="str">
        <f t="shared" ca="1" si="24"/>
        <v>CN</v>
      </c>
      <c r="T169" s="225" t="str">
        <f ca="1">IF(B169="","",IF(ISERROR(MATCH($J169,SorP!$B$1:$B$6230,0)),"",INDIRECT("'SorP'!$A$"&amp;MATCH($J169,SorP!$B$1:$B$6230,0))))</f>
        <v>CN-HN</v>
      </c>
      <c r="U169" s="241"/>
      <c r="V169" s="275">
        <f>IF(C169="",NA(),MATCH($B169&amp;$C169,'Smelter Look-up'!$J:$J,0))</f>
        <v>99</v>
      </c>
      <c r="W169" s="276"/>
      <c r="X169" s="276">
        <f t="shared" si="25"/>
        <v>0</v>
      </c>
      <c r="Y169" s="276"/>
      <c r="Z169" s="276"/>
      <c r="AB169" s="278" t="str">
        <f t="shared" si="26"/>
        <v>GoldHunan Chenzhou Mining Co., Ltd.</v>
      </c>
    </row>
    <row r="170" spans="1:28" s="277" customFormat="1" ht="67.5">
      <c r="A170" s="216"/>
      <c r="B170" s="217" t="s">
        <v>1156</v>
      </c>
      <c r="C170" s="221" t="s">
        <v>2324</v>
      </c>
      <c r="D170" s="283" t="s">
        <v>2324</v>
      </c>
      <c r="E170" s="217" t="s">
        <v>1123</v>
      </c>
      <c r="F170" s="217" t="s">
        <v>816</v>
      </c>
      <c r="G170" s="217" t="s">
        <v>15513</v>
      </c>
      <c r="H170" s="218">
        <f ca="1">IF(ISERROR($V170),"",OFFSET('Smelter Look-up'!$G$4,$V170-4,0))</f>
        <v>0</v>
      </c>
      <c r="I170" s="219" t="str">
        <f ca="1">IF(ISERROR($V170),"",OFFSET('Smelter Look-up'!$H$4,$V170-4,0))</f>
        <v>Yuanling</v>
      </c>
      <c r="J170" s="219" t="str">
        <f ca="1">IF(ISERROR($V170),"",OFFSET('Smelter Look-up'!$I$4,$V170-4,0))</f>
        <v>Hunan Sheng</v>
      </c>
      <c r="K170" s="273"/>
      <c r="L170" s="273"/>
      <c r="M170" s="273"/>
      <c r="N170" s="273"/>
      <c r="O170" s="273"/>
      <c r="P170" s="220"/>
      <c r="Q170" s="274"/>
      <c r="R170" s="217" t="str">
        <f ca="1">IF(ISERROR($V170),"",OFFSET('Smelter Look-up'!$C$4,$V170-4,0)&amp;"")</f>
        <v>Hunan Chenzhou Mining Co., Ltd.</v>
      </c>
      <c r="S170" s="225" t="str">
        <f t="shared" ca="1" si="24"/>
        <v>CN</v>
      </c>
      <c r="T170" s="225" t="str">
        <f ca="1">IF(B170="","",IF(ISERROR(MATCH($J170,SorP!$B$1:$B$6230,0)),"",INDIRECT("'SorP'!$A$"&amp;MATCH($J170,SorP!$B$1:$B$6230,0))))</f>
        <v>CN-HN</v>
      </c>
      <c r="U170" s="241"/>
      <c r="V170" s="275">
        <f>IF(C170="",NA(),MATCH($B170&amp;$C170,'Smelter Look-up'!$J:$J,0))</f>
        <v>519</v>
      </c>
      <c r="W170" s="276"/>
      <c r="X170" s="276">
        <f t="shared" si="25"/>
        <v>0</v>
      </c>
      <c r="Y170" s="276"/>
      <c r="Z170" s="276"/>
      <c r="AB170" s="278" t="str">
        <f t="shared" si="26"/>
        <v>TungstenHunan Chenzhou Mining Co., Ltd.</v>
      </c>
    </row>
    <row r="171" spans="1:28" s="277" customFormat="1" ht="121.5">
      <c r="A171" s="216"/>
      <c r="B171" s="217" t="s">
        <v>1156</v>
      </c>
      <c r="C171" s="221" t="s">
        <v>1886</v>
      </c>
      <c r="D171" s="283" t="s">
        <v>1886</v>
      </c>
      <c r="E171" s="217" t="s">
        <v>1123</v>
      </c>
      <c r="F171" s="217" t="s">
        <v>1887</v>
      </c>
      <c r="G171" s="217" t="s">
        <v>15513</v>
      </c>
      <c r="H171" s="218">
        <f ca="1">IF(ISERROR($V171),"",OFFSET('Smelter Look-up'!$G$4,$V171-4,0))</f>
        <v>0</v>
      </c>
      <c r="I171" s="219" t="str">
        <f ca="1">IF(ISERROR($V171),"",OFFSET('Smelter Look-up'!$H$4,$V171-4,0))</f>
        <v>Hengyang</v>
      </c>
      <c r="J171" s="219" t="str">
        <f ca="1">IF(ISERROR($V171),"",OFFSET('Smelter Look-up'!$I$4,$V171-4,0))</f>
        <v>Hunan Sheng</v>
      </c>
      <c r="K171" s="273"/>
      <c r="L171" s="273"/>
      <c r="M171" s="273"/>
      <c r="N171" s="273"/>
      <c r="O171" s="273"/>
      <c r="P171" s="220"/>
      <c r="Q171" s="274"/>
      <c r="R171" s="217" t="str">
        <f ca="1">IF(ISERROR($V171),"",OFFSET('Smelter Look-up'!$C$4,$V171-4,0)&amp;"")</f>
        <v>Hunan Chuangda Vanadium Tungsten Co., Ltd. Wuji</v>
      </c>
      <c r="S171" s="225" t="str">
        <f t="shared" ca="1" si="24"/>
        <v>CN</v>
      </c>
      <c r="T171" s="225" t="str">
        <f ca="1">IF(B171="","",IF(ISERROR(MATCH($J171,SorP!$B$1:$B$6230,0)),"",INDIRECT("'SorP'!$A$"&amp;MATCH($J171,SorP!$B$1:$B$6230,0))))</f>
        <v>CN-HN</v>
      </c>
      <c r="U171" s="241"/>
      <c r="V171" s="275">
        <f>IF(C171="",NA(),MATCH($B171&amp;$C171,'Smelter Look-up'!$J:$J,0))</f>
        <v>521</v>
      </c>
      <c r="W171" s="276"/>
      <c r="X171" s="276">
        <f t="shared" si="25"/>
        <v>0</v>
      </c>
      <c r="Y171" s="276"/>
      <c r="Z171" s="276"/>
      <c r="AB171" s="278" t="str">
        <f t="shared" si="26"/>
        <v>TungstenHunan Chuangda Vanadium Tungsten Co., Ltd. Wuji</v>
      </c>
    </row>
    <row r="172" spans="1:28" s="277" customFormat="1" ht="108">
      <c r="A172" s="216"/>
      <c r="B172" s="217" t="s">
        <v>1156</v>
      </c>
      <c r="C172" s="221" t="s">
        <v>1404</v>
      </c>
      <c r="D172" s="283" t="s">
        <v>1404</v>
      </c>
      <c r="E172" s="217" t="s">
        <v>1123</v>
      </c>
      <c r="F172" s="217" t="s">
        <v>817</v>
      </c>
      <c r="G172" s="217" t="s">
        <v>15513</v>
      </c>
      <c r="H172" s="218">
        <f ca="1">IF(ISERROR($V172),"",OFFSET('Smelter Look-up'!$G$4,$V172-4,0))</f>
        <v>0</v>
      </c>
      <c r="I172" s="219" t="str">
        <f ca="1">IF(ISERROR($V172),"",OFFSET('Smelter Look-up'!$H$4,$V172-4,0))</f>
        <v>Hengyang</v>
      </c>
      <c r="J172" s="219" t="str">
        <f ca="1">IF(ISERROR($V172),"",OFFSET('Smelter Look-up'!$I$4,$V172-4,0))</f>
        <v>Hunan Sheng</v>
      </c>
      <c r="K172" s="273"/>
      <c r="L172" s="273"/>
      <c r="M172" s="273"/>
      <c r="N172" s="273"/>
      <c r="O172" s="273"/>
      <c r="P172" s="220"/>
      <c r="Q172" s="274"/>
      <c r="R172" s="217" t="str">
        <f ca="1">IF(ISERROR($V172),"",OFFSET('Smelter Look-up'!$C$4,$V172-4,0)&amp;"")</f>
        <v>Hunan Chunchang Nonferrous Metals Co., Ltd.</v>
      </c>
      <c r="S172" s="225" t="str">
        <f t="shared" ca="1" si="24"/>
        <v>CN</v>
      </c>
      <c r="T172" s="225" t="str">
        <f ca="1">IF(B172="","",IF(ISERROR(MATCH($J172,SorP!$B$1:$B$6230,0)),"",INDIRECT("'SorP'!$A$"&amp;MATCH($J172,SorP!$B$1:$B$6230,0))))</f>
        <v>CN-HN</v>
      </c>
      <c r="U172" s="241"/>
      <c r="V172" s="275">
        <f>IF(C172="",NA(),MATCH($B172&amp;$C172,'Smelter Look-up'!$J:$J,0))</f>
        <v>522</v>
      </c>
      <c r="W172" s="276"/>
      <c r="X172" s="276">
        <f t="shared" si="25"/>
        <v>0</v>
      </c>
      <c r="Y172" s="276"/>
      <c r="Z172" s="276"/>
      <c r="AB172" s="278" t="str">
        <f t="shared" si="26"/>
        <v>TungstenHunan Chunchang Nonferrous Metals Co., Ltd.</v>
      </c>
    </row>
    <row r="173" spans="1:28" s="277" customFormat="1" ht="108">
      <c r="A173" s="216"/>
      <c r="B173" s="217" t="s">
        <v>1153</v>
      </c>
      <c r="C173" s="221" t="s">
        <v>13512</v>
      </c>
      <c r="D173" s="283" t="s">
        <v>13512</v>
      </c>
      <c r="E173" s="217" t="s">
        <v>1123</v>
      </c>
      <c r="F173" s="217" t="s">
        <v>13513</v>
      </c>
      <c r="G173" s="217" t="s">
        <v>14250</v>
      </c>
      <c r="H173" s="218">
        <f ca="1">IF(ISERROR($V173),"",OFFSET('Smelter Look-up'!$G$4,$V173-4,0))</f>
        <v>0</v>
      </c>
      <c r="I173" s="219" t="str">
        <f ca="1">IF(ISERROR($V173),"",OFFSET('Smelter Look-up'!$H$4,$V173-4,0))</f>
        <v>Chenzhou</v>
      </c>
      <c r="J173" s="219" t="str">
        <f ca="1">IF(ISERROR($V173),"",OFFSET('Smelter Look-up'!$I$4,$V173-4,0))</f>
        <v>Hunan Sheng</v>
      </c>
      <c r="K173" s="273"/>
      <c r="L173" s="273"/>
      <c r="M173" s="273"/>
      <c r="N173" s="273"/>
      <c r="O173" s="273"/>
      <c r="P173" s="220"/>
      <c r="Q173" s="274"/>
      <c r="R173" s="217" t="str">
        <f ca="1">IF(ISERROR($V173),"",OFFSET('Smelter Look-up'!$C$4,$V173-4,0)&amp;"")</f>
        <v>Hunan Guiyang yinxing Nonferrous Smelting Co., Ltd.</v>
      </c>
      <c r="S173" s="225" t="str">
        <f t="shared" ca="1" si="24"/>
        <v>CN</v>
      </c>
      <c r="T173" s="225" t="str">
        <f ca="1">IF(B173="","",IF(ISERROR(MATCH($J173,SorP!$B$1:$B$6230,0)),"",INDIRECT("'SorP'!$A$"&amp;MATCH($J173,SorP!$B$1:$B$6230,0))))</f>
        <v>CN-HN</v>
      </c>
      <c r="U173" s="241"/>
      <c r="V173" s="275">
        <f>IF(C173="",NA(),MATCH($B173&amp;$C173,'Smelter Look-up'!$J:$J,0))</f>
        <v>102</v>
      </c>
      <c r="W173" s="276"/>
      <c r="X173" s="276">
        <f t="shared" si="25"/>
        <v>0</v>
      </c>
      <c r="Y173" s="276"/>
      <c r="Z173" s="276"/>
      <c r="AB173" s="278" t="str">
        <f t="shared" si="26"/>
        <v>GoldHunan Guiyang yinxing Nonferrous Smelting Co., Ltd.</v>
      </c>
    </row>
    <row r="174" spans="1:28" s="277" customFormat="1" ht="94.5">
      <c r="A174" s="216"/>
      <c r="B174" s="217" t="s">
        <v>1156</v>
      </c>
      <c r="C174" s="221" t="s">
        <v>2686</v>
      </c>
      <c r="D174" s="283" t="s">
        <v>2686</v>
      </c>
      <c r="E174" s="217" t="s">
        <v>1123</v>
      </c>
      <c r="F174" s="217" t="s">
        <v>2687</v>
      </c>
      <c r="G174" s="217" t="s">
        <v>15513</v>
      </c>
      <c r="H174" s="218">
        <f ca="1">IF(ISERROR($V174),"",OFFSET('Smelter Look-up'!$G$4,$V174-4,0))</f>
        <v>0</v>
      </c>
      <c r="I174" s="219" t="str">
        <f ca="1">IF(ISERROR($V174),"",OFFSET('Smelter Look-up'!$H$4,$V174-4,0))</f>
        <v>Yiyang</v>
      </c>
      <c r="J174" s="219" t="str">
        <f ca="1">IF(ISERROR($V174),"",OFFSET('Smelter Look-up'!$I$4,$V174-4,0))</f>
        <v>Hunan Sheng</v>
      </c>
      <c r="K174" s="273"/>
      <c r="L174" s="273"/>
      <c r="M174" s="273"/>
      <c r="N174" s="273"/>
      <c r="O174" s="273"/>
      <c r="P174" s="220"/>
      <c r="Q174" s="274"/>
      <c r="R174" s="217" t="str">
        <f ca="1">IF(ISERROR($V174),"",OFFSET('Smelter Look-up'!$C$4,$V174-4,0)&amp;"")</f>
        <v>Hunan Litian Tungsten Industry Co., Ltd.</v>
      </c>
      <c r="S174" s="225" t="str">
        <f t="shared" ca="1" si="24"/>
        <v>CN</v>
      </c>
      <c r="T174" s="225" t="str">
        <f ca="1">IF(B174="","",IF(ISERROR(MATCH($J174,SorP!$B$1:$B$6230,0)),"",INDIRECT("'SorP'!$A$"&amp;MATCH($J174,SorP!$B$1:$B$6230,0))))</f>
        <v>CN-HN</v>
      </c>
      <c r="U174" s="241"/>
      <c r="V174" s="275">
        <f>IF(C174="",NA(),MATCH($B174&amp;$C174,'Smelter Look-up'!$J:$J,0))</f>
        <v>523</v>
      </c>
      <c r="W174" s="276"/>
      <c r="X174" s="276">
        <f t="shared" si="25"/>
        <v>0</v>
      </c>
      <c r="Y174" s="276"/>
      <c r="Z174" s="276"/>
      <c r="AB174" s="278" t="str">
        <f t="shared" si="26"/>
        <v>TungstenHunan Litian Tungsten Industry Co., Ltd.</v>
      </c>
    </row>
    <row r="175" spans="1:28" s="277" customFormat="1" ht="40.5">
      <c r="A175" s="216"/>
      <c r="B175" s="217" t="s">
        <v>1153</v>
      </c>
      <c r="C175" s="221" t="s">
        <v>1898</v>
      </c>
      <c r="D175" s="283" t="s">
        <v>15615</v>
      </c>
      <c r="E175" s="217" t="s">
        <v>1123</v>
      </c>
      <c r="F175" s="217" t="s">
        <v>14250</v>
      </c>
      <c r="G175" s="217" t="s">
        <v>14250</v>
      </c>
      <c r="H175" s="218">
        <f ca="1">IF(ISERROR($V175),"",OFFSET('Smelter Look-up'!$G$4,$V175-4,0))</f>
        <v>0</v>
      </c>
      <c r="I175" s="219">
        <f ca="1">IF(ISERROR($V175),"",OFFSET('Smelter Look-up'!$H$4,$V175-4,0))</f>
        <v>0</v>
      </c>
      <c r="J175" s="219">
        <f ca="1">IF(ISERROR($V175),"",OFFSET('Smelter Look-up'!$I$4,$V175-4,0))</f>
        <v>0</v>
      </c>
      <c r="K175" s="273"/>
      <c r="L175" s="273"/>
      <c r="M175" s="273"/>
      <c r="N175" s="273"/>
      <c r="O175" s="273"/>
      <c r="P175" s="220"/>
      <c r="Q175" s="274"/>
      <c r="R175" s="217" t="str">
        <f ca="1">IF(ISERROR($V175),"",OFFSET('Smelter Look-up'!$C$4,$V175-4,0)&amp;"")</f>
        <v/>
      </c>
      <c r="S175" s="225" t="str">
        <f t="shared" ca="1" si="24"/>
        <v>CN</v>
      </c>
      <c r="T175" s="225" t="str">
        <f ca="1">IF(B175="","",IF(ISERROR(MATCH($J175,SorP!$B$1:$B$6230,0)),"",INDIRECT("'SorP'!$A$"&amp;MATCH($J175,SorP!$B$1:$B$6230,0))))</f>
        <v/>
      </c>
      <c r="U175" s="241"/>
      <c r="V175" s="275">
        <f>IF(C175="",NA(),MATCH($B175&amp;$C175,'Smelter Look-up'!$J:$J,0))</f>
        <v>293</v>
      </c>
      <c r="W175" s="276"/>
      <c r="X175" s="276">
        <f t="shared" si="25"/>
        <v>0</v>
      </c>
      <c r="Y175" s="276"/>
      <c r="Z175" s="276"/>
      <c r="AB175" s="278" t="str">
        <f t="shared" si="26"/>
        <v>GoldSmelter not listed</v>
      </c>
    </row>
    <row r="176" spans="1:28" s="277" customFormat="1" ht="54">
      <c r="A176" s="216"/>
      <c r="B176" s="217" t="s">
        <v>1153</v>
      </c>
      <c r="C176" s="221" t="s">
        <v>2648</v>
      </c>
      <c r="D176" s="283" t="s">
        <v>2648</v>
      </c>
      <c r="E176" s="217" t="s">
        <v>1134</v>
      </c>
      <c r="F176" s="217" t="s">
        <v>698</v>
      </c>
      <c r="G176" s="217" t="s">
        <v>15513</v>
      </c>
      <c r="H176" s="218">
        <f ca="1">IF(ISERROR($V176),"",OFFSET('Smelter Look-up'!$G$4,$V176-4,0))</f>
        <v>0</v>
      </c>
      <c r="I176" s="219" t="str">
        <f ca="1">IF(ISERROR($V176),"",OFFSET('Smelter Look-up'!$H$4,$V176-4,0))</f>
        <v>Danwon</v>
      </c>
      <c r="J176" s="219" t="str">
        <f ca="1">IF(ISERROR($V176),"",OFFSET('Smelter Look-up'!$I$4,$V176-4,0))</f>
        <v>Gyeonggi-do</v>
      </c>
      <c r="K176" s="273"/>
      <c r="L176" s="273"/>
      <c r="M176" s="273"/>
      <c r="N176" s="273"/>
      <c r="O176" s="273"/>
      <c r="P176" s="220"/>
      <c r="Q176" s="274"/>
      <c r="R176" s="217" t="str">
        <f ca="1">IF(ISERROR($V176),"",OFFSET('Smelter Look-up'!$C$4,$V176-4,0)&amp;"")</f>
        <v>HwaSeong CJ CO., LTD.</v>
      </c>
      <c r="S176" s="225" t="str">
        <f t="shared" ca="1" si="24"/>
        <v>KR</v>
      </c>
      <c r="T176" s="225" t="str">
        <f ca="1">IF(B176="","",IF(ISERROR(MATCH($J176,SorP!$B$1:$B$6230,0)),"",INDIRECT("'SorP'!$A$"&amp;MATCH($J176,SorP!$B$1:$B$6230,0))))</f>
        <v>KR-41</v>
      </c>
      <c r="U176" s="241"/>
      <c r="V176" s="275">
        <f>IF(C176="",NA(),MATCH($B176&amp;$C176,'Smelter Look-up'!$J:$J,0))</f>
        <v>104</v>
      </c>
      <c r="W176" s="276"/>
      <c r="X176" s="276">
        <f t="shared" si="25"/>
        <v>0</v>
      </c>
      <c r="Y176" s="276"/>
      <c r="Z176" s="276"/>
      <c r="AB176" s="278" t="str">
        <f t="shared" si="26"/>
        <v>GoldHwaSeong CJ CO., LTD.</v>
      </c>
    </row>
    <row r="177" spans="1:28" s="277" customFormat="1" ht="54">
      <c r="A177" s="216"/>
      <c r="B177" s="217" t="s">
        <v>1156</v>
      </c>
      <c r="C177" s="221" t="s">
        <v>1891</v>
      </c>
      <c r="D177" s="283" t="s">
        <v>1891</v>
      </c>
      <c r="E177" s="217" t="s">
        <v>906</v>
      </c>
      <c r="F177" s="217" t="s">
        <v>1892</v>
      </c>
      <c r="G177" s="217" t="s">
        <v>15513</v>
      </c>
      <c r="H177" s="218">
        <f ca="1">IF(ISERROR($V177),"",OFFSET('Smelter Look-up'!$G$4,$V177-4,0))</f>
        <v>0</v>
      </c>
      <c r="I177" s="219" t="str">
        <f ca="1">IF(ISERROR($V177),"",OFFSET('Smelter Look-up'!$H$4,$V177-4,0))</f>
        <v>Nalchik</v>
      </c>
      <c r="J177" s="219" t="str">
        <f ca="1">IF(ISERROR($V177),"",OFFSET('Smelter Look-up'!$I$4,$V177-4,0))</f>
        <v>Kabardino-Balkarskaya Respublika</v>
      </c>
      <c r="K177" s="273"/>
      <c r="L177" s="273"/>
      <c r="M177" s="273"/>
      <c r="N177" s="273"/>
      <c r="O177" s="273"/>
      <c r="P177" s="220"/>
      <c r="Q177" s="274"/>
      <c r="R177" s="217" t="str">
        <f ca="1">IF(ISERROR($V177),"",OFFSET('Smelter Look-up'!$C$4,$V177-4,0)&amp;"")</f>
        <v>Hydrometallurg, JSC</v>
      </c>
      <c r="S177" s="225" t="str">
        <f t="shared" ca="1" si="24"/>
        <v>RU</v>
      </c>
      <c r="T177" s="225" t="str">
        <f ca="1">IF(B177="","",IF(ISERROR(MATCH($J177,SorP!$B$1:$B$6230,0)),"",INDIRECT("'SorP'!$A$"&amp;MATCH($J177,SorP!$B$1:$B$6230,0))))</f>
        <v>RU-KB</v>
      </c>
      <c r="U177" s="241"/>
      <c r="V177" s="275">
        <f>IF(C177="",NA(),MATCH($B177&amp;$C177,'Smelter Look-up'!$J:$J,0))</f>
        <v>524</v>
      </c>
      <c r="W177" s="276"/>
      <c r="X177" s="276">
        <f t="shared" si="25"/>
        <v>0</v>
      </c>
      <c r="Y177" s="276"/>
      <c r="Z177" s="276"/>
      <c r="AB177" s="278" t="str">
        <f t="shared" si="26"/>
        <v>TungstenHydrometallurg, JSC</v>
      </c>
    </row>
    <row r="178" spans="1:28" s="277" customFormat="1" ht="121.5">
      <c r="A178" s="216"/>
      <c r="B178" s="217" t="s">
        <v>1153</v>
      </c>
      <c r="C178" s="221" t="s">
        <v>2424</v>
      </c>
      <c r="D178" s="283" t="s">
        <v>2424</v>
      </c>
      <c r="E178" s="217" t="s">
        <v>1123</v>
      </c>
      <c r="F178" s="217" t="s">
        <v>699</v>
      </c>
      <c r="G178" s="217" t="s">
        <v>15513</v>
      </c>
      <c r="H178" s="218">
        <f ca="1">IF(ISERROR($V178),"",OFFSET('Smelter Look-up'!$G$4,$V178-4,0))</f>
        <v>0</v>
      </c>
      <c r="I178" s="219" t="str">
        <f ca="1">IF(ISERROR($V178),"",OFFSET('Smelter Look-up'!$H$4,$V178-4,0))</f>
        <v>Hohhot</v>
      </c>
      <c r="J178" s="219" t="str">
        <f ca="1">IF(ISERROR($V178),"",OFFSET('Smelter Look-up'!$I$4,$V178-4,0))</f>
        <v>Nei Mongol Zizhiqu</v>
      </c>
      <c r="K178" s="273"/>
      <c r="L178" s="273"/>
      <c r="M178" s="273"/>
      <c r="N178" s="273"/>
      <c r="O178" s="273"/>
      <c r="P178" s="220"/>
      <c r="Q178" s="274"/>
      <c r="R178" s="217" t="str">
        <f ca="1">IF(ISERROR($V178),"",OFFSET('Smelter Look-up'!$C$4,$V178-4,0)&amp;"")</f>
        <v>Inner Mongolia Qiankun Gold and Silver Refinery Share Co., Ltd.</v>
      </c>
      <c r="S178" s="225" t="str">
        <f t="shared" ca="1" si="24"/>
        <v>CN</v>
      </c>
      <c r="T178" s="225" t="str">
        <f ca="1">IF(B178="","",IF(ISERROR(MATCH($J178,SorP!$B$1:$B$6230,0)),"",INDIRECT("'SorP'!$A$"&amp;MATCH($J178,SorP!$B$1:$B$6230,0))))</f>
        <v>CN-NM</v>
      </c>
      <c r="U178" s="241"/>
      <c r="V178" s="275">
        <f>IF(C178="",NA(),MATCH($B178&amp;$C178,'Smelter Look-up'!$J:$J,0))</f>
        <v>105</v>
      </c>
      <c r="W178" s="276"/>
      <c r="X178" s="276">
        <f t="shared" si="25"/>
        <v>0</v>
      </c>
      <c r="Y178" s="276"/>
      <c r="Z178" s="276"/>
      <c r="AB178" s="278" t="str">
        <f t="shared" si="26"/>
        <v>GoldInner Mongolia Qiankun Gold and Silver Refinery Share Co., Ltd.</v>
      </c>
    </row>
    <row r="179" spans="1:28" s="277" customFormat="1" ht="67.5">
      <c r="A179" s="216"/>
      <c r="B179" s="217" t="s">
        <v>1153</v>
      </c>
      <c r="C179" s="221" t="s">
        <v>14138</v>
      </c>
      <c r="D179" s="283" t="s">
        <v>14138</v>
      </c>
      <c r="E179" s="217" t="s">
        <v>1115</v>
      </c>
      <c r="F179" s="217" t="s">
        <v>14139</v>
      </c>
      <c r="G179" s="217" t="s">
        <v>14250</v>
      </c>
      <c r="H179" s="218">
        <f ca="1">IF(ISERROR($V179),"",OFFSET('Smelter Look-up'!$G$4,$V179-4,0))</f>
        <v>0</v>
      </c>
      <c r="I179" s="219" t="str">
        <f ca="1">IF(ISERROR($V179),"",OFFSET('Smelter Look-up'!$H$4,$V179-4,0))</f>
        <v>Dubai</v>
      </c>
      <c r="J179" s="219" t="str">
        <f ca="1">IF(ISERROR($V179),"",OFFSET('Smelter Look-up'!$I$4,$V179-4,0))</f>
        <v>Dubayy</v>
      </c>
      <c r="K179" s="273"/>
      <c r="L179" s="273"/>
      <c r="M179" s="273"/>
      <c r="N179" s="273"/>
      <c r="O179" s="273"/>
      <c r="P179" s="220"/>
      <c r="Q179" s="274"/>
      <c r="R179" s="217" t="str">
        <f ca="1">IF(ISERROR($V179),"",OFFSET('Smelter Look-up'!$C$4,$V179-4,0)&amp;"")</f>
        <v>International Precious Metal Refiners</v>
      </c>
      <c r="S179" s="225" t="str">
        <f t="shared" ca="1" si="24"/>
        <v>AE</v>
      </c>
      <c r="T179" s="225" t="str">
        <f ca="1">IF(B179="","",IF(ISERROR(MATCH($J179,SorP!$B$1:$B$6230,0)),"",INDIRECT("'SorP'!$A$"&amp;MATCH($J179,SorP!$B$1:$B$6230,0))))</f>
        <v>AE-DU</v>
      </c>
      <c r="U179" s="241"/>
      <c r="V179" s="275">
        <f>IF(C179="",NA(),MATCH($B179&amp;$C179,'Smelter Look-up'!$J:$J,0))</f>
        <v>106</v>
      </c>
      <c r="W179" s="276"/>
      <c r="X179" s="276">
        <f t="shared" si="25"/>
        <v>0</v>
      </c>
      <c r="Y179" s="276"/>
      <c r="Z179" s="276"/>
      <c r="AB179" s="278" t="str">
        <f t="shared" si="26"/>
        <v>GoldInternational Precious Metal Refiners</v>
      </c>
    </row>
    <row r="180" spans="1:28" s="277" customFormat="1" ht="67.5">
      <c r="A180" s="216"/>
      <c r="B180" s="217" t="s">
        <v>1153</v>
      </c>
      <c r="C180" s="221" t="s">
        <v>1251</v>
      </c>
      <c r="D180" s="283" t="s">
        <v>1251</v>
      </c>
      <c r="E180" s="217" t="s">
        <v>1131</v>
      </c>
      <c r="F180" s="217" t="s">
        <v>700</v>
      </c>
      <c r="G180" s="217" t="s">
        <v>15513</v>
      </c>
      <c r="H180" s="218">
        <f ca="1">IF(ISERROR($V180),"",OFFSET('Smelter Look-up'!$G$4,$V180-4,0))</f>
        <v>0</v>
      </c>
      <c r="I180" s="219" t="str">
        <f ca="1">IF(ISERROR($V180),"",OFFSET('Smelter Look-up'!$H$4,$V180-4,0))</f>
        <v>Soka</v>
      </c>
      <c r="J180" s="219" t="str">
        <f ca="1">IF(ISERROR($V180),"",OFFSET('Smelter Look-up'!$I$4,$V180-4,0))</f>
        <v>Saitama</v>
      </c>
      <c r="K180" s="273"/>
      <c r="L180" s="273"/>
      <c r="M180" s="273"/>
      <c r="N180" s="273"/>
      <c r="O180" s="273"/>
      <c r="P180" s="220"/>
      <c r="Q180" s="274"/>
      <c r="R180" s="217" t="str">
        <f ca="1">IF(ISERROR($V180),"",OFFSET('Smelter Look-up'!$C$4,$V180-4,0)&amp;"")</f>
        <v>Ishifuku Metal Industry Co., Ltd.</v>
      </c>
      <c r="S180" s="225" t="str">
        <f t="shared" ca="1" si="24"/>
        <v>JP</v>
      </c>
      <c r="T180" s="225" t="str">
        <f ca="1">IF(B180="","",IF(ISERROR(MATCH($J180,SorP!$B$1:$B$6230,0)),"",INDIRECT("'SorP'!$A$"&amp;MATCH($J180,SorP!$B$1:$B$6230,0))))</f>
        <v>JP-11</v>
      </c>
      <c r="U180" s="241"/>
      <c r="V180" s="275">
        <f>IF(C180="",NA(),MATCH($B180&amp;$C180,'Smelter Look-up'!$J:$J,0))</f>
        <v>107</v>
      </c>
      <c r="W180" s="276"/>
      <c r="X180" s="276">
        <f t="shared" si="25"/>
        <v>0</v>
      </c>
      <c r="Y180" s="276"/>
      <c r="Z180" s="276"/>
      <c r="AB180" s="278" t="str">
        <f t="shared" si="26"/>
        <v>GoldIshifuku Metal Industry Co., Ltd.</v>
      </c>
    </row>
    <row r="181" spans="1:28" s="277" customFormat="1" ht="54">
      <c r="A181" s="216"/>
      <c r="B181" s="217" t="s">
        <v>1153</v>
      </c>
      <c r="C181" s="221" t="s">
        <v>1258</v>
      </c>
      <c r="D181" s="283" t="s">
        <v>1258</v>
      </c>
      <c r="E181" s="217" t="s">
        <v>912</v>
      </c>
      <c r="F181" s="217" t="s">
        <v>701</v>
      </c>
      <c r="G181" s="217" t="s">
        <v>15513</v>
      </c>
      <c r="H181" s="218">
        <f ca="1">IF(ISERROR($V181),"",OFFSET('Smelter Look-up'!$G$4,$V181-4,0))</f>
        <v>0</v>
      </c>
      <c r="I181" s="219" t="str">
        <f ca="1">IF(ISERROR($V181),"",OFFSET('Smelter Look-up'!$H$4,$V181-4,0))</f>
        <v>Kuyumcukent</v>
      </c>
      <c r="J181" s="219" t="str">
        <f ca="1">IF(ISERROR($V181),"",OFFSET('Smelter Look-up'!$I$4,$V181-4,0))</f>
        <v>İstanbul</v>
      </c>
      <c r="K181" s="273"/>
      <c r="L181" s="273"/>
      <c r="M181" s="273"/>
      <c r="N181" s="273"/>
      <c r="O181" s="273"/>
      <c r="P181" s="220"/>
      <c r="Q181" s="274"/>
      <c r="R181" s="217" t="str">
        <f ca="1">IF(ISERROR($V181),"",OFFSET('Smelter Look-up'!$C$4,$V181-4,0)&amp;"")</f>
        <v>Istanbul Gold Refinery</v>
      </c>
      <c r="S181" s="225" t="str">
        <f t="shared" ca="1" si="24"/>
        <v>TR</v>
      </c>
      <c r="T181" s="225" t="str">
        <f ca="1">IF(B181="","",IF(ISERROR(MATCH($J181,SorP!$B$1:$B$6230,0)),"",INDIRECT("'SorP'!$A$"&amp;MATCH($J181,SorP!$B$1:$B$6230,0))))</f>
        <v>TR-34</v>
      </c>
      <c r="U181" s="241"/>
      <c r="V181" s="275">
        <f>IF(C181="",NA(),MATCH($B181&amp;$C181,'Smelter Look-up'!$J:$J,0))</f>
        <v>108</v>
      </c>
      <c r="W181" s="276"/>
      <c r="X181" s="276">
        <f t="shared" si="25"/>
        <v>0</v>
      </c>
      <c r="Y181" s="276"/>
      <c r="Z181" s="276"/>
      <c r="AB181" s="278" t="str">
        <f t="shared" si="26"/>
        <v>GoldIstanbul Gold Refinery</v>
      </c>
    </row>
    <row r="182" spans="1:28" s="277" customFormat="1" ht="27">
      <c r="A182" s="216"/>
      <c r="B182" s="217" t="s">
        <v>1153</v>
      </c>
      <c r="C182" s="221" t="s">
        <v>2649</v>
      </c>
      <c r="D182" s="283" t="s">
        <v>2649</v>
      </c>
      <c r="E182" s="217" t="s">
        <v>1130</v>
      </c>
      <c r="F182" s="217" t="s">
        <v>2650</v>
      </c>
      <c r="G182" s="217" t="s">
        <v>15513</v>
      </c>
      <c r="H182" s="218">
        <f ca="1">IF(ISERROR($V182),"",OFFSET('Smelter Look-up'!$G$4,$V182-4,0))</f>
        <v>0</v>
      </c>
      <c r="I182" s="219" t="str">
        <f ca="1">IF(ISERROR($V182),"",OFFSET('Smelter Look-up'!$H$4,$V182-4,0))</f>
        <v>Arezzo</v>
      </c>
      <c r="J182" s="219" t="str">
        <f ca="1">IF(ISERROR($V182),"",OFFSET('Smelter Look-up'!$I$4,$V182-4,0))</f>
        <v>Toscana</v>
      </c>
      <c r="K182" s="273"/>
      <c r="L182" s="273"/>
      <c r="M182" s="273"/>
      <c r="N182" s="273"/>
      <c r="O182" s="273"/>
      <c r="P182" s="220"/>
      <c r="Q182" s="274"/>
      <c r="R182" s="217" t="str">
        <f ca="1">IF(ISERROR($V182),"",OFFSET('Smelter Look-up'!$C$4,$V182-4,0)&amp;"")</f>
        <v>Italpreziosi</v>
      </c>
      <c r="S182" s="225" t="str">
        <f t="shared" ca="1" si="24"/>
        <v>IT</v>
      </c>
      <c r="T182" s="225" t="str">
        <f ca="1">IF(B182="","",IF(ISERROR(MATCH($J182,SorP!$B$1:$B$6230,0)),"",INDIRECT("'SorP'!$A$"&amp;MATCH($J182,SorP!$B$1:$B$6230,0))))</f>
        <v>IT-52</v>
      </c>
      <c r="U182" s="241"/>
      <c r="V182" s="275">
        <f>IF(C182="",NA(),MATCH($B182&amp;$C182,'Smelter Look-up'!$J:$J,0))</f>
        <v>109</v>
      </c>
      <c r="W182" s="276"/>
      <c r="X182" s="276">
        <f t="shared" si="25"/>
        <v>0</v>
      </c>
      <c r="Y182" s="276"/>
      <c r="Z182" s="276"/>
      <c r="AB182" s="278" t="str">
        <f t="shared" si="26"/>
        <v>GoldItalpreziosi</v>
      </c>
    </row>
    <row r="183" spans="1:28" s="277" customFormat="1" ht="54">
      <c r="A183" s="216"/>
      <c r="B183" s="217" t="s">
        <v>1153</v>
      </c>
      <c r="C183" s="221" t="s">
        <v>14218</v>
      </c>
      <c r="D183" s="283" t="s">
        <v>14218</v>
      </c>
      <c r="E183" s="217" t="s">
        <v>1129</v>
      </c>
      <c r="F183" s="217" t="s">
        <v>14237</v>
      </c>
      <c r="G183" s="217" t="s">
        <v>13577</v>
      </c>
      <c r="H183" s="218">
        <f ca="1">IF(ISERROR($V183),"",OFFSET('Smelter Look-up'!$G$4,$V183-4,0))</f>
        <v>0</v>
      </c>
      <c r="I183" s="219" t="str">
        <f ca="1">IF(ISERROR($V183),"",OFFSET('Smelter Look-up'!$H$4,$V183-4,0))</f>
        <v>New Delhi</v>
      </c>
      <c r="J183" s="219" t="str">
        <f ca="1">IF(ISERROR($V183),"",OFFSET('Smelter Look-up'!$I$4,$V183-4,0))</f>
        <v>Delhi</v>
      </c>
      <c r="K183" s="273"/>
      <c r="L183" s="273"/>
      <c r="M183" s="273"/>
      <c r="N183" s="273"/>
      <c r="O183" s="273"/>
      <c r="P183" s="220"/>
      <c r="Q183" s="274"/>
      <c r="R183" s="217" t="str">
        <f ca="1">IF(ISERROR($V183),"",OFFSET('Smelter Look-up'!$C$4,$V183-4,0)&amp;"")</f>
        <v>JALAN &amp; Company</v>
      </c>
      <c r="S183" s="225" t="str">
        <f t="shared" ca="1" si="24"/>
        <v>IN</v>
      </c>
      <c r="T183" s="225" t="str">
        <f ca="1">IF(B183="","",IF(ISERROR(MATCH($J183,SorP!$B$1:$B$6230,0)),"",INDIRECT("'SorP'!$A$"&amp;MATCH($J183,SorP!$B$1:$B$6230,0))))</f>
        <v>IN-DL</v>
      </c>
      <c r="U183" s="241"/>
      <c r="V183" s="275">
        <f>IF(C183="",NA(),MATCH($B183&amp;$C183,'Smelter Look-up'!$J:$J,0))</f>
        <v>110</v>
      </c>
      <c r="W183" s="276"/>
      <c r="X183" s="276">
        <f t="shared" si="25"/>
        <v>0</v>
      </c>
      <c r="Y183" s="276"/>
      <c r="Z183" s="276"/>
      <c r="AB183" s="278" t="str">
        <f t="shared" si="26"/>
        <v>GoldJALAN &amp; Company</v>
      </c>
    </row>
    <row r="184" spans="1:28" s="277" customFormat="1" ht="27">
      <c r="A184" s="216"/>
      <c r="B184" s="217" t="s">
        <v>1153</v>
      </c>
      <c r="C184" s="221" t="s">
        <v>931</v>
      </c>
      <c r="D184" s="283" t="s">
        <v>931</v>
      </c>
      <c r="E184" s="217" t="s">
        <v>1131</v>
      </c>
      <c r="F184" s="217" t="s">
        <v>702</v>
      </c>
      <c r="G184" s="217" t="s">
        <v>15513</v>
      </c>
      <c r="H184" s="218">
        <f ca="1">IF(ISERROR($V184),"",OFFSET('Smelter Look-up'!$G$4,$V184-4,0))</f>
        <v>0</v>
      </c>
      <c r="I184" s="219" t="str">
        <f ca="1">IF(ISERROR($V184),"",OFFSET('Smelter Look-up'!$H$4,$V184-4,0))</f>
        <v>Osaka</v>
      </c>
      <c r="J184" s="219" t="str">
        <f ca="1">IF(ISERROR($V184),"",OFFSET('Smelter Look-up'!$I$4,$V184-4,0))</f>
        <v>Osaka</v>
      </c>
      <c r="K184" s="273"/>
      <c r="L184" s="273"/>
      <c r="M184" s="273"/>
      <c r="N184" s="273"/>
      <c r="O184" s="273"/>
      <c r="P184" s="220"/>
      <c r="Q184" s="274"/>
      <c r="R184" s="217" t="str">
        <f ca="1">IF(ISERROR($V184),"",OFFSET('Smelter Look-up'!$C$4,$V184-4,0)&amp;"")</f>
        <v>Japan Mint</v>
      </c>
      <c r="S184" s="225" t="str">
        <f t="shared" ca="1" si="24"/>
        <v>JP</v>
      </c>
      <c r="T184" s="225" t="str">
        <f ca="1">IF(B184="","",IF(ISERROR(MATCH($J184,SorP!$B$1:$B$6230,0)),"",INDIRECT("'SorP'!$A$"&amp;MATCH($J184,SorP!$B$1:$B$6230,0))))</f>
        <v>JP-27</v>
      </c>
      <c r="U184" s="241"/>
      <c r="V184" s="275">
        <f>IF(C184="",NA(),MATCH($B184&amp;$C184,'Smelter Look-up'!$J:$J,0))</f>
        <v>111</v>
      </c>
      <c r="W184" s="276"/>
      <c r="X184" s="276">
        <f t="shared" si="25"/>
        <v>0</v>
      </c>
      <c r="Y184" s="276"/>
      <c r="Z184" s="276"/>
      <c r="AB184" s="278" t="str">
        <f t="shared" si="26"/>
        <v>GoldJapan Mint</v>
      </c>
    </row>
    <row r="185" spans="1:28" s="277" customFormat="1" ht="67.5">
      <c r="A185" s="216"/>
      <c r="B185" s="217" t="s">
        <v>1156</v>
      </c>
      <c r="C185" s="221" t="s">
        <v>1405</v>
      </c>
      <c r="D185" s="283" t="s">
        <v>1405</v>
      </c>
      <c r="E185" s="217" t="s">
        <v>1131</v>
      </c>
      <c r="F185" s="217" t="s">
        <v>818</v>
      </c>
      <c r="G185" s="217" t="s">
        <v>15513</v>
      </c>
      <c r="H185" s="218">
        <f ca="1">IF(ISERROR($V185),"",OFFSET('Smelter Look-up'!$G$4,$V185-4,0))</f>
        <v>0</v>
      </c>
      <c r="I185" s="219" t="str">
        <f ca="1">IF(ISERROR($V185),"",OFFSET('Smelter Look-up'!$H$4,$V185-4,0))</f>
        <v>Akita City</v>
      </c>
      <c r="J185" s="219" t="str">
        <f ca="1">IF(ISERROR($V185),"",OFFSET('Smelter Look-up'!$I$4,$V185-4,0))</f>
        <v>Akita</v>
      </c>
      <c r="K185" s="273"/>
      <c r="L185" s="273"/>
      <c r="M185" s="273"/>
      <c r="N185" s="273"/>
      <c r="O185" s="273"/>
      <c r="P185" s="220"/>
      <c r="Q185" s="274"/>
      <c r="R185" s="217" t="str">
        <f ca="1">IF(ISERROR($V185),"",OFFSET('Smelter Look-up'!$C$4,$V185-4,0)&amp;"")</f>
        <v>Japan New Metals Co., Ltd.</v>
      </c>
      <c r="S185" s="225" t="str">
        <f t="shared" ca="1" si="24"/>
        <v>JP</v>
      </c>
      <c r="T185" s="225" t="str">
        <f ca="1">IF(B185="","",IF(ISERROR(MATCH($J185,SorP!$B$1:$B$6230,0)),"",INDIRECT("'SorP'!$A$"&amp;MATCH($J185,SorP!$B$1:$B$6230,0))))</f>
        <v>JP-05</v>
      </c>
      <c r="U185" s="241"/>
      <c r="V185" s="275">
        <f>IF(C185="",NA(),MATCH($B185&amp;$C185,'Smelter Look-up'!$J:$J,0))</f>
        <v>525</v>
      </c>
      <c r="W185" s="276"/>
      <c r="X185" s="276">
        <f t="shared" si="25"/>
        <v>0</v>
      </c>
      <c r="Y185" s="276"/>
      <c r="Z185" s="276"/>
      <c r="AB185" s="278" t="str">
        <f t="shared" si="26"/>
        <v>TungstenJapan New Metals Co., Ltd.</v>
      </c>
    </row>
    <row r="186" spans="1:28" s="277" customFormat="1" ht="40.5">
      <c r="A186" s="216"/>
      <c r="B186" s="217" t="s">
        <v>1154</v>
      </c>
      <c r="C186" s="221" t="s">
        <v>1898</v>
      </c>
      <c r="D186" s="283" t="s">
        <v>15616</v>
      </c>
      <c r="E186" s="217" t="s">
        <v>1123</v>
      </c>
      <c r="F186" s="217" t="s">
        <v>14250</v>
      </c>
      <c r="G186" s="217" t="s">
        <v>14250</v>
      </c>
      <c r="H186" s="218">
        <f ca="1">IF(ISERROR($V186),"",OFFSET('Smelter Look-up'!$G$4,$V186-4,0))</f>
        <v>0</v>
      </c>
      <c r="I186" s="219">
        <f ca="1">IF(ISERROR($V186),"",OFFSET('Smelter Look-up'!$H$4,$V186-4,0))</f>
        <v>0</v>
      </c>
      <c r="J186" s="219">
        <f ca="1">IF(ISERROR($V186),"",OFFSET('Smelter Look-up'!$I$4,$V186-4,0))</f>
        <v>0</v>
      </c>
      <c r="K186" s="273"/>
      <c r="L186" s="273"/>
      <c r="M186" s="273"/>
      <c r="N186" s="273"/>
      <c r="O186" s="273"/>
      <c r="P186" s="220"/>
      <c r="Q186" s="274"/>
      <c r="R186" s="217" t="str">
        <f ca="1">IF(ISERROR($V186),"",OFFSET('Smelter Look-up'!$C$4,$V186-4,0)&amp;"")</f>
        <v/>
      </c>
      <c r="S186" s="225" t="str">
        <f t="shared" ca="1" si="24"/>
        <v>CN</v>
      </c>
      <c r="T186" s="225" t="str">
        <f ca="1">IF(B186="","",IF(ISERROR(MATCH($J186,SorP!$B$1:$B$6230,0)),"",INDIRECT("'SorP'!$A$"&amp;MATCH($J186,SorP!$B$1:$B$6230,0))))</f>
        <v/>
      </c>
      <c r="U186" s="241"/>
      <c r="V186" s="275">
        <f>IF(C186="",NA(),MATCH($B186&amp;$C186,'Smelter Look-up'!$J:$J,0))</f>
        <v>484</v>
      </c>
      <c r="W186" s="276"/>
      <c r="X186" s="276">
        <f t="shared" si="25"/>
        <v>0</v>
      </c>
      <c r="Y186" s="276"/>
      <c r="Z186" s="276"/>
      <c r="AB186" s="278" t="str">
        <f t="shared" si="26"/>
        <v>TinSmelter not listed</v>
      </c>
    </row>
    <row r="187" spans="1:28" s="277" customFormat="1" ht="108">
      <c r="A187" s="216"/>
      <c r="B187" s="217" t="s">
        <v>1156</v>
      </c>
      <c r="C187" s="221" t="s">
        <v>1453</v>
      </c>
      <c r="D187" s="283" t="s">
        <v>1453</v>
      </c>
      <c r="E187" s="217" t="s">
        <v>1123</v>
      </c>
      <c r="F187" s="217" t="s">
        <v>1454</v>
      </c>
      <c r="G187" s="217" t="s">
        <v>15513</v>
      </c>
      <c r="H187" s="218">
        <f ca="1">IF(ISERROR($V187),"",OFFSET('Smelter Look-up'!$G$4,$V187-4,0))</f>
        <v>0</v>
      </c>
      <c r="I187" s="219" t="str">
        <f ca="1">IF(ISERROR($V187),"",OFFSET('Smelter Look-up'!$H$4,$V187-4,0))</f>
        <v>Ganzhou</v>
      </c>
      <c r="J187" s="219" t="str">
        <f ca="1">IF(ISERROR($V187),"",OFFSET('Smelter Look-up'!$I$4,$V187-4,0))</f>
        <v>Jiangxi Sheng</v>
      </c>
      <c r="K187" s="273"/>
      <c r="L187" s="273"/>
      <c r="M187" s="273"/>
      <c r="N187" s="273"/>
      <c r="O187" s="273"/>
      <c r="P187" s="220"/>
      <c r="Q187" s="274"/>
      <c r="R187" s="217" t="str">
        <f ca="1">IF(ISERROR($V187),"",OFFSET('Smelter Look-up'!$C$4,$V187-4,0)&amp;"")</f>
        <v>Jiangwu H.C. Starck Tungsten Products Co., Ltd.</v>
      </c>
      <c r="S187" s="225" t="str">
        <f t="shared" ca="1" si="24"/>
        <v>CN</v>
      </c>
      <c r="T187" s="225" t="str">
        <f ca="1">IF(B187="","",IF(ISERROR(MATCH($J187,SorP!$B$1:$B$6230,0)),"",INDIRECT("'SorP'!$A$"&amp;MATCH($J187,SorP!$B$1:$B$6230,0))))</f>
        <v>CN-JX</v>
      </c>
      <c r="U187" s="241"/>
      <c r="V187" s="275">
        <f>IF(C187="",NA(),MATCH($B187&amp;$C187,'Smelter Look-up'!$J:$J,0))</f>
        <v>526</v>
      </c>
      <c r="W187" s="276"/>
      <c r="X187" s="276">
        <f t="shared" si="25"/>
        <v>0</v>
      </c>
      <c r="Y187" s="276"/>
      <c r="Z187" s="276"/>
      <c r="AB187" s="278" t="str">
        <f t="shared" si="26"/>
        <v>TungstenJiangwu H.C. Starck Tungsten Products Co., Ltd.</v>
      </c>
    </row>
    <row r="188" spans="1:28" s="277" customFormat="1" ht="54">
      <c r="A188" s="216"/>
      <c r="B188" s="217" t="s">
        <v>1153</v>
      </c>
      <c r="C188" s="221" t="s">
        <v>2425</v>
      </c>
      <c r="D188" s="283" t="s">
        <v>2425</v>
      </c>
      <c r="E188" s="217" t="s">
        <v>1123</v>
      </c>
      <c r="F188" s="217" t="s">
        <v>703</v>
      </c>
      <c r="G188" s="217" t="s">
        <v>15513</v>
      </c>
      <c r="H188" s="218">
        <f ca="1">IF(ISERROR($V188),"",OFFSET('Smelter Look-up'!$G$4,$V188-4,0))</f>
        <v>0</v>
      </c>
      <c r="I188" s="219" t="str">
        <f ca="1">IF(ISERROR($V188),"",OFFSET('Smelter Look-up'!$H$4,$V188-4,0))</f>
        <v>Guixi City</v>
      </c>
      <c r="J188" s="219" t="str">
        <f ca="1">IF(ISERROR($V188),"",OFFSET('Smelter Look-up'!$I$4,$V188-4,0))</f>
        <v>Jiangxi Sheng</v>
      </c>
      <c r="K188" s="273"/>
      <c r="L188" s="273"/>
      <c r="M188" s="273"/>
      <c r="N188" s="273"/>
      <c r="O188" s="273"/>
      <c r="P188" s="220"/>
      <c r="Q188" s="274"/>
      <c r="R188" s="217" t="str">
        <f ca="1">IF(ISERROR($V188),"",OFFSET('Smelter Look-up'!$C$4,$V188-4,0)&amp;"")</f>
        <v>Jiangxi Copper Co., Ltd.</v>
      </c>
      <c r="S188" s="225" t="str">
        <f t="shared" ca="1" si="24"/>
        <v>CN</v>
      </c>
      <c r="T188" s="225" t="str">
        <f ca="1">IF(B188="","",IF(ISERROR(MATCH($J188,SorP!$B$1:$B$6230,0)),"",INDIRECT("'SorP'!$A$"&amp;MATCH($J188,SorP!$B$1:$B$6230,0))))</f>
        <v>CN-JX</v>
      </c>
      <c r="U188" s="241"/>
      <c r="V188" s="275">
        <f>IF(C188="",NA(),MATCH($B188&amp;$C188,'Smelter Look-up'!$J:$J,0))</f>
        <v>113</v>
      </c>
      <c r="W188" s="276"/>
      <c r="X188" s="276">
        <f t="shared" si="25"/>
        <v>0</v>
      </c>
      <c r="Y188" s="276"/>
      <c r="Z188" s="276"/>
      <c r="AB188" s="278" t="str">
        <f t="shared" si="26"/>
        <v>GoldJiangxi Copper Co., Ltd.</v>
      </c>
    </row>
    <row r="189" spans="1:28" s="277" customFormat="1" ht="94.5">
      <c r="A189" s="216"/>
      <c r="B189" s="217" t="s">
        <v>1155</v>
      </c>
      <c r="C189" s="221" t="s">
        <v>2279</v>
      </c>
      <c r="D189" s="283" t="s">
        <v>2279</v>
      </c>
      <c r="E189" s="217" t="s">
        <v>1123</v>
      </c>
      <c r="F189" s="217" t="s">
        <v>1421</v>
      </c>
      <c r="G189" s="217" t="s">
        <v>15513</v>
      </c>
      <c r="H189" s="218">
        <f ca="1">IF(ISERROR($V189),"",OFFSET('Smelter Look-up'!$G$4,$V189-4,0))</f>
        <v>0</v>
      </c>
      <c r="I189" s="219" t="str">
        <f ca="1">IF(ISERROR($V189),"",OFFSET('Smelter Look-up'!$H$4,$V189-4,0))</f>
        <v>Fengxin</v>
      </c>
      <c r="J189" s="219" t="str">
        <f ca="1">IF(ISERROR($V189),"",OFFSET('Smelter Look-up'!$I$4,$V189-4,0))</f>
        <v>Jiangxi Sheng</v>
      </c>
      <c r="K189" s="273"/>
      <c r="L189" s="273"/>
      <c r="M189" s="273"/>
      <c r="N189" s="273"/>
      <c r="O189" s="273"/>
      <c r="P189" s="220"/>
      <c r="Q189" s="274"/>
      <c r="R189" s="217" t="str">
        <f ca="1">IF(ISERROR($V189),"",OFFSET('Smelter Look-up'!$C$4,$V189-4,0)&amp;"")</f>
        <v>Jiangxi Dinghai Tantalum &amp; Niobium Co., Ltd.</v>
      </c>
      <c r="S189" s="225" t="str">
        <f t="shared" ca="1" si="24"/>
        <v>CN</v>
      </c>
      <c r="T189" s="225" t="str">
        <f ca="1">IF(B189="","",IF(ISERROR(MATCH($J189,SorP!$B$1:$B$6230,0)),"",INDIRECT("'SorP'!$A$"&amp;MATCH($J189,SorP!$B$1:$B$6230,0))))</f>
        <v>CN-JX</v>
      </c>
      <c r="U189" s="241"/>
      <c r="V189" s="275">
        <f>IF(C189="",NA(),MATCH($B189&amp;$C189,'Smelter Look-up'!$J:$J,0))</f>
        <v>314</v>
      </c>
      <c r="W189" s="276"/>
      <c r="X189" s="276">
        <f t="shared" si="25"/>
        <v>0</v>
      </c>
      <c r="Y189" s="276"/>
      <c r="Z189" s="276"/>
      <c r="AB189" s="278" t="str">
        <f t="shared" si="26"/>
        <v>TantalumJiangxi Dinghai Tantalum &amp; Niobium Co., Ltd.</v>
      </c>
    </row>
    <row r="190" spans="1:28" s="277" customFormat="1" ht="81">
      <c r="A190" s="216"/>
      <c r="B190" s="217" t="s">
        <v>1156</v>
      </c>
      <c r="C190" s="221" t="s">
        <v>160</v>
      </c>
      <c r="D190" s="283" t="s">
        <v>160</v>
      </c>
      <c r="E190" s="217" t="s">
        <v>1123</v>
      </c>
      <c r="F190" s="217" t="s">
        <v>141</v>
      </c>
      <c r="G190" s="217" t="s">
        <v>15513</v>
      </c>
      <c r="H190" s="218">
        <f ca="1">IF(ISERROR($V190),"",OFFSET('Smelter Look-up'!$G$4,$V190-4,0))</f>
        <v>0</v>
      </c>
      <c r="I190" s="219" t="str">
        <f ca="1">IF(ISERROR($V190),"",OFFSET('Smelter Look-up'!$H$4,$V190-4,0))</f>
        <v>Xiushui</v>
      </c>
      <c r="J190" s="219" t="str">
        <f ca="1">IF(ISERROR($V190),"",OFFSET('Smelter Look-up'!$I$4,$V190-4,0))</f>
        <v>Jiangxi Sheng</v>
      </c>
      <c r="K190" s="273"/>
      <c r="L190" s="273"/>
      <c r="M190" s="273"/>
      <c r="N190" s="273"/>
      <c r="O190" s="273"/>
      <c r="P190" s="220"/>
      <c r="Q190" s="274"/>
      <c r="R190" s="217" t="str">
        <f ca="1">IF(ISERROR($V190),"",OFFSET('Smelter Look-up'!$C$4,$V190-4,0)&amp;"")</f>
        <v>Jiangxi Gan Bei Tungsten Co., Ltd.</v>
      </c>
      <c r="S190" s="225" t="str">
        <f t="shared" ca="1" si="24"/>
        <v>CN</v>
      </c>
      <c r="T190" s="225" t="str">
        <f ca="1">IF(B190="","",IF(ISERROR(MATCH($J190,SorP!$B$1:$B$6230,0)),"",INDIRECT("'SorP'!$A$"&amp;MATCH($J190,SorP!$B$1:$B$6230,0))))</f>
        <v>CN-JX</v>
      </c>
      <c r="U190" s="241"/>
      <c r="V190" s="275">
        <f>IF(C190="",NA(),MATCH($B190&amp;$C190,'Smelter Look-up'!$J:$J,0))</f>
        <v>528</v>
      </c>
      <c r="W190" s="276"/>
      <c r="X190" s="276">
        <f t="shared" si="25"/>
        <v>0</v>
      </c>
      <c r="Y190" s="276"/>
      <c r="Z190" s="276"/>
      <c r="AB190" s="278" t="str">
        <f t="shared" si="26"/>
        <v>TungstenJiangxi Gan Bei Tungsten Co., Ltd.</v>
      </c>
    </row>
    <row r="191" spans="1:28" s="277" customFormat="1" ht="40.5">
      <c r="A191" s="216"/>
      <c r="B191" s="217" t="s">
        <v>1154</v>
      </c>
      <c r="C191" s="221" t="s">
        <v>1898</v>
      </c>
      <c r="D191" s="283" t="s">
        <v>15617</v>
      </c>
      <c r="E191" s="217" t="s">
        <v>1123</v>
      </c>
      <c r="F191" s="217" t="s">
        <v>15618</v>
      </c>
      <c r="G191" s="217" t="s">
        <v>15513</v>
      </c>
      <c r="H191" s="218">
        <f ca="1">IF(ISERROR($V191),"",OFFSET('Smelter Look-up'!$G$4,$V191-4,0))</f>
        <v>0</v>
      </c>
      <c r="I191" s="219">
        <f ca="1">IF(ISERROR($V191),"",OFFSET('Smelter Look-up'!$H$4,$V191-4,0))</f>
        <v>0</v>
      </c>
      <c r="J191" s="219">
        <f ca="1">IF(ISERROR($V191),"",OFFSET('Smelter Look-up'!$I$4,$V191-4,0))</f>
        <v>0</v>
      </c>
      <c r="K191" s="273"/>
      <c r="L191" s="273"/>
      <c r="M191" s="273"/>
      <c r="N191" s="273"/>
      <c r="O191" s="273"/>
      <c r="P191" s="220"/>
      <c r="Q191" s="274"/>
      <c r="R191" s="217" t="str">
        <f ca="1">IF(ISERROR($V191),"",OFFSET('Smelter Look-up'!$C$4,$V191-4,0)&amp;"")</f>
        <v/>
      </c>
      <c r="S191" s="225" t="str">
        <f t="shared" ca="1" si="24"/>
        <v>CN</v>
      </c>
      <c r="T191" s="225" t="str">
        <f ca="1">IF(B191="","",IF(ISERROR(MATCH($J191,SorP!$B$1:$B$6230,0)),"",INDIRECT("'SorP'!$A$"&amp;MATCH($J191,SorP!$B$1:$B$6230,0))))</f>
        <v/>
      </c>
      <c r="U191" s="241"/>
      <c r="V191" s="275">
        <f>IF(C191="",NA(),MATCH($B191&amp;$C191,'Smelter Look-up'!$J:$J,0))</f>
        <v>484</v>
      </c>
      <c r="W191" s="276"/>
      <c r="X191" s="276">
        <f t="shared" si="25"/>
        <v>0</v>
      </c>
      <c r="Y191" s="276"/>
      <c r="Z191" s="276"/>
      <c r="AB191" s="278" t="str">
        <f t="shared" si="26"/>
        <v>TinSmelter not listed</v>
      </c>
    </row>
    <row r="192" spans="1:28" s="277" customFormat="1" ht="121.5">
      <c r="A192" s="216"/>
      <c r="B192" s="217" t="s">
        <v>1156</v>
      </c>
      <c r="C192" s="221" t="s">
        <v>838</v>
      </c>
      <c r="D192" s="283" t="s">
        <v>838</v>
      </c>
      <c r="E192" s="217" t="s">
        <v>1123</v>
      </c>
      <c r="F192" s="217" t="s">
        <v>826</v>
      </c>
      <c r="G192" s="217" t="s">
        <v>15513</v>
      </c>
      <c r="H192" s="218">
        <f ca="1">IF(ISERROR($V192),"",OFFSET('Smelter Look-up'!$G$4,$V192-4,0))</f>
        <v>0</v>
      </c>
      <c r="I192" s="219" t="str">
        <f ca="1">IF(ISERROR($V192),"",OFFSET('Smelter Look-up'!$H$4,$V192-4,0))</f>
        <v>Gao'an</v>
      </c>
      <c r="J192" s="219" t="str">
        <f ca="1">IF(ISERROR($V192),"",OFFSET('Smelter Look-up'!$I$4,$V192-4,0))</f>
        <v>Jiangxi Sheng</v>
      </c>
      <c r="K192" s="273"/>
      <c r="L192" s="273"/>
      <c r="M192" s="273"/>
      <c r="N192" s="273"/>
      <c r="O192" s="273"/>
      <c r="P192" s="220"/>
      <c r="Q192" s="274"/>
      <c r="R192" s="217" t="str">
        <f ca="1">IF(ISERROR($V192),"",OFFSET('Smelter Look-up'!$C$4,$V192-4,0)&amp;"")</f>
        <v>Jiangxi Minmetals Gao'an Non-ferrous Metals Co., Ltd.</v>
      </c>
      <c r="S192" s="225" t="str">
        <f t="shared" ca="1" si="24"/>
        <v>CN</v>
      </c>
      <c r="T192" s="225" t="str">
        <f ca="1">IF(B192="","",IF(ISERROR(MATCH($J192,SorP!$B$1:$B$6230,0)),"",INDIRECT("'SorP'!$A$"&amp;MATCH($J192,SorP!$B$1:$B$6230,0))))</f>
        <v>CN-JX</v>
      </c>
      <c r="U192" s="241"/>
      <c r="V192" s="275">
        <f>IF(C192="",NA(),MATCH($B192&amp;$C192,'Smelter Look-up'!$J:$J,0))</f>
        <v>529</v>
      </c>
      <c r="W192" s="276"/>
      <c r="X192" s="276">
        <f t="shared" si="25"/>
        <v>0</v>
      </c>
      <c r="Y192" s="276"/>
      <c r="Z192" s="276"/>
      <c r="AB192" s="278" t="str">
        <f t="shared" si="26"/>
        <v>TungstenJiangxi Minmetals Gao'an Non-ferrous Metals Co., Ltd.</v>
      </c>
    </row>
    <row r="193" spans="1:28" s="277" customFormat="1" ht="67.5">
      <c r="A193" s="216"/>
      <c r="B193" s="217" t="s">
        <v>1154</v>
      </c>
      <c r="C193" s="221" t="s">
        <v>13518</v>
      </c>
      <c r="D193" s="283" t="s">
        <v>13518</v>
      </c>
      <c r="E193" s="217" t="s">
        <v>1123</v>
      </c>
      <c r="F193" s="217" t="s">
        <v>1828</v>
      </c>
      <c r="G193" s="217" t="s">
        <v>15513</v>
      </c>
      <c r="H193" s="218">
        <f ca="1">IF(ISERROR($V193),"",OFFSET('Smelter Look-up'!$G$4,$V193-4,0))</f>
        <v>0</v>
      </c>
      <c r="I193" s="219" t="str">
        <f ca="1">IF(ISERROR($V193),"",OFFSET('Smelter Look-up'!$H$4,$V193-4,0))</f>
        <v>Ganzhou</v>
      </c>
      <c r="J193" s="219" t="str">
        <f ca="1">IF(ISERROR($V193),"",OFFSET('Smelter Look-up'!$I$4,$V193-4,0))</f>
        <v>Jiangxi Sheng</v>
      </c>
      <c r="K193" s="273"/>
      <c r="L193" s="273"/>
      <c r="M193" s="273"/>
      <c r="N193" s="273"/>
      <c r="O193" s="273"/>
      <c r="P193" s="220"/>
      <c r="Q193" s="274"/>
      <c r="R193" s="217" t="str">
        <f ca="1">IF(ISERROR($V193),"",OFFSET('Smelter Look-up'!$C$4,$V193-4,0)&amp;"")</f>
        <v>Jiangxi New Nanshan Technology Ltd.</v>
      </c>
      <c r="S193" s="225" t="str">
        <f t="shared" ca="1" si="24"/>
        <v>CN</v>
      </c>
      <c r="T193" s="225" t="str">
        <f ca="1">IF(B193="","",IF(ISERROR(MATCH($J193,SorP!$B$1:$B$6230,0)),"",INDIRECT("'SorP'!$A$"&amp;MATCH($J193,SorP!$B$1:$B$6230,0))))</f>
        <v>CN-JX</v>
      </c>
      <c r="U193" s="241"/>
      <c r="V193" s="275">
        <f>IF(C193="",NA(),MATCH($B193&amp;$C193,'Smelter Look-up'!$J:$J,0))</f>
        <v>404</v>
      </c>
      <c r="W193" s="276"/>
      <c r="X193" s="276">
        <f t="shared" si="25"/>
        <v>0</v>
      </c>
      <c r="Y193" s="276"/>
      <c r="Z193" s="276"/>
      <c r="AB193" s="278" t="str">
        <f t="shared" si="26"/>
        <v>TinJiangxi New Nanshan Technology Ltd.</v>
      </c>
    </row>
    <row r="194" spans="1:28" s="277" customFormat="1" ht="135">
      <c r="A194" s="216"/>
      <c r="B194" s="217" t="s">
        <v>1156</v>
      </c>
      <c r="C194" s="221" t="s">
        <v>157</v>
      </c>
      <c r="D194" s="283" t="s">
        <v>157</v>
      </c>
      <c r="E194" s="217" t="s">
        <v>1123</v>
      </c>
      <c r="F194" s="217" t="s">
        <v>146</v>
      </c>
      <c r="G194" s="217" t="s">
        <v>15513</v>
      </c>
      <c r="H194" s="218">
        <f ca="1">IF(ISERROR($V194),"",OFFSET('Smelter Look-up'!$G$4,$V194-4,0))</f>
        <v>0</v>
      </c>
      <c r="I194" s="219" t="str">
        <f ca="1">IF(ISERROR($V194),"",OFFSET('Smelter Look-up'!$H$4,$V194-4,0))</f>
        <v>Tonggu</v>
      </c>
      <c r="J194" s="219" t="str">
        <f ca="1">IF(ISERROR($V194),"",OFFSET('Smelter Look-up'!$I$4,$V194-4,0))</f>
        <v>Jiangxi Sheng</v>
      </c>
      <c r="K194" s="273"/>
      <c r="L194" s="273"/>
      <c r="M194" s="273"/>
      <c r="N194" s="273"/>
      <c r="O194" s="273"/>
      <c r="P194" s="220"/>
      <c r="Q194" s="274"/>
      <c r="R194" s="217" t="str">
        <f ca="1">IF(ISERROR($V194),"",OFFSET('Smelter Look-up'!$C$4,$V194-4,0)&amp;"")</f>
        <v>Jiangxi Tonggu Non-ferrous Metallurgical &amp; Chemical Co., Ltd.</v>
      </c>
      <c r="S194" s="225" t="str">
        <f t="shared" ca="1" si="24"/>
        <v>CN</v>
      </c>
      <c r="T194" s="225" t="str">
        <f ca="1">IF(B194="","",IF(ISERROR(MATCH($J194,SorP!$B$1:$B$6230,0)),"",INDIRECT("'SorP'!$A$"&amp;MATCH($J194,SorP!$B$1:$B$6230,0))))</f>
        <v>CN-JX</v>
      </c>
      <c r="U194" s="241"/>
      <c r="V194" s="275">
        <f>IF(C194="",NA(),MATCH($B194&amp;$C194,'Smelter Look-up'!$J:$J,0))</f>
        <v>530</v>
      </c>
      <c r="W194" s="276"/>
      <c r="X194" s="276">
        <f t="shared" si="25"/>
        <v>0</v>
      </c>
      <c r="Y194" s="276"/>
      <c r="Z194" s="276"/>
      <c r="AB194" s="278" t="str">
        <f t="shared" si="26"/>
        <v>TungstenJiangxi Tonggu Non-ferrous Metallurgical &amp; Chemical Co., Ltd.</v>
      </c>
    </row>
    <row r="195" spans="1:28" s="277" customFormat="1" ht="81">
      <c r="A195" s="216"/>
      <c r="B195" s="217" t="s">
        <v>1155</v>
      </c>
      <c r="C195" s="221" t="s">
        <v>2386</v>
      </c>
      <c r="D195" s="283" t="s">
        <v>2386</v>
      </c>
      <c r="E195" s="217" t="s">
        <v>1123</v>
      </c>
      <c r="F195" s="217" t="s">
        <v>2387</v>
      </c>
      <c r="G195" s="217" t="s">
        <v>15513</v>
      </c>
      <c r="H195" s="218">
        <f ca="1">IF(ISERROR($V195),"",OFFSET('Smelter Look-up'!$G$4,$V195-4,0))</f>
        <v>0</v>
      </c>
      <c r="I195" s="219" t="str">
        <f ca="1">IF(ISERROR($V195),"",OFFSET('Smelter Look-up'!$H$4,$V195-4,0))</f>
        <v>Yichun</v>
      </c>
      <c r="J195" s="219" t="str">
        <f ca="1">IF(ISERROR($V195),"",OFFSET('Smelter Look-up'!$I$4,$V195-4,0))</f>
        <v>Jiangxi Sheng</v>
      </c>
      <c r="K195" s="273"/>
      <c r="L195" s="273"/>
      <c r="M195" s="273"/>
      <c r="N195" s="273"/>
      <c r="O195" s="273"/>
      <c r="P195" s="220"/>
      <c r="Q195" s="274"/>
      <c r="R195" s="217" t="str">
        <f ca="1">IF(ISERROR($V195),"",OFFSET('Smelter Look-up'!$C$4,$V195-4,0)&amp;"")</f>
        <v>Jiangxi Tuohong New Raw Material</v>
      </c>
      <c r="S195" s="225" t="str">
        <f t="shared" ca="1" si="24"/>
        <v>CN</v>
      </c>
      <c r="T195" s="225" t="str">
        <f ca="1">IF(B195="","",IF(ISERROR(MATCH($J195,SorP!$B$1:$B$6230,0)),"",INDIRECT("'SorP'!$A$"&amp;MATCH($J195,SorP!$B$1:$B$6230,0))))</f>
        <v>CN-JX</v>
      </c>
      <c r="U195" s="241"/>
      <c r="V195" s="275">
        <f>IF(C195="",NA(),MATCH($B195&amp;$C195,'Smelter Look-up'!$J:$J,0))</f>
        <v>315</v>
      </c>
      <c r="W195" s="276"/>
      <c r="X195" s="276">
        <f t="shared" si="25"/>
        <v>0</v>
      </c>
      <c r="Y195" s="276"/>
      <c r="Z195" s="276"/>
      <c r="AB195" s="278" t="str">
        <f t="shared" si="26"/>
        <v>TantalumJiangxi Tuohong New Raw Material</v>
      </c>
    </row>
    <row r="196" spans="1:28" s="277" customFormat="1" ht="81">
      <c r="A196" s="216"/>
      <c r="B196" s="217" t="s">
        <v>1156</v>
      </c>
      <c r="C196" s="221" t="s">
        <v>14230</v>
      </c>
      <c r="D196" s="283" t="s">
        <v>14230</v>
      </c>
      <c r="E196" s="217" t="s">
        <v>1123</v>
      </c>
      <c r="F196" s="217" t="s">
        <v>2385</v>
      </c>
      <c r="G196" s="217" t="s">
        <v>13577</v>
      </c>
      <c r="H196" s="218">
        <f ca="1">IF(ISERROR($V196),"",OFFSET('Smelter Look-up'!$G$4,$V196-4,0))</f>
        <v>0</v>
      </c>
      <c r="I196" s="219" t="str">
        <f ca="1">IF(ISERROR($V196),"",OFFSET('Smelter Look-up'!$H$4,$V196-4,0))</f>
        <v>Huanglong</v>
      </c>
      <c r="J196" s="219" t="str">
        <f ca="1">IF(ISERROR($V196),"",OFFSET('Smelter Look-up'!$I$4,$V196-4,0))</f>
        <v>Jiangxi Sheng</v>
      </c>
      <c r="K196" s="273"/>
      <c r="L196" s="273"/>
      <c r="M196" s="273"/>
      <c r="N196" s="273"/>
      <c r="O196" s="273"/>
      <c r="P196" s="220"/>
      <c r="Q196" s="274"/>
      <c r="R196" s="217" t="str">
        <f ca="1">IF(ISERROR($V196),"",OFFSET('Smelter Look-up'!$C$4,$V196-4,0)&amp;"")</f>
        <v>Jiangxi Xianglu Tungsten Co., Ltd.</v>
      </c>
      <c r="S196" s="225" t="str">
        <f t="shared" ca="1" si="24"/>
        <v>CN</v>
      </c>
      <c r="T196" s="225" t="str">
        <f ca="1">IF(B196="","",IF(ISERROR(MATCH($J196,SorP!$B$1:$B$6230,0)),"",INDIRECT("'SorP'!$A$"&amp;MATCH($J196,SorP!$B$1:$B$6230,0))))</f>
        <v>CN-JX</v>
      </c>
      <c r="U196" s="241"/>
      <c r="V196" s="275">
        <f>IF(C196="",NA(),MATCH($B196&amp;$C196,'Smelter Look-up'!$J:$J,0))</f>
        <v>533</v>
      </c>
      <c r="W196" s="276"/>
      <c r="X196" s="276">
        <f t="shared" si="25"/>
        <v>0</v>
      </c>
      <c r="Y196" s="276"/>
      <c r="Z196" s="276"/>
      <c r="AB196" s="278" t="str">
        <f t="shared" si="26"/>
        <v>TungstenJiangxi Xianglu Tungsten Co., Ltd.</v>
      </c>
    </row>
    <row r="197" spans="1:28" s="277" customFormat="1" ht="108">
      <c r="A197" s="216"/>
      <c r="B197" s="217" t="s">
        <v>1156</v>
      </c>
      <c r="C197" s="221" t="s">
        <v>156</v>
      </c>
      <c r="D197" s="283" t="s">
        <v>156</v>
      </c>
      <c r="E197" s="217" t="s">
        <v>1123</v>
      </c>
      <c r="F197" s="217" t="s">
        <v>145</v>
      </c>
      <c r="G197" s="217" t="s">
        <v>15513</v>
      </c>
      <c r="H197" s="218">
        <f ca="1">IF(ISERROR($V197),"",OFFSET('Smelter Look-up'!$G$4,$V197-4,0))</f>
        <v>0</v>
      </c>
      <c r="I197" s="219" t="str">
        <f ca="1">IF(ISERROR($V197),"",OFFSET('Smelter Look-up'!$H$4,$V197-4,0))</f>
        <v>Ganzhou</v>
      </c>
      <c r="J197" s="219" t="str">
        <f ca="1">IF(ISERROR($V197),"",OFFSET('Smelter Look-up'!$I$4,$V197-4,0))</f>
        <v>Jiangxi Sheng</v>
      </c>
      <c r="K197" s="273"/>
      <c r="L197" s="273"/>
      <c r="M197" s="273"/>
      <c r="N197" s="273"/>
      <c r="O197" s="273"/>
      <c r="P197" s="220"/>
      <c r="Q197" s="274"/>
      <c r="R197" s="217" t="str">
        <f ca="1">IF(ISERROR($V197),"",OFFSET('Smelter Look-up'!$C$4,$V197-4,0)&amp;"")</f>
        <v>Jiangxi Xinsheng Tungsten Industry Co., Ltd.</v>
      </c>
      <c r="S197" s="225" t="str">
        <f t="shared" ref="S197" ca="1" si="27">IF(B197="","",IF(ISERROR(MATCH($E197,CL,0)),"Unknown",INDIRECT("'C'!$A$"&amp;MATCH($E197,CL,0)+1)))</f>
        <v>CN</v>
      </c>
      <c r="T197" s="225" t="str">
        <f ca="1">IF(B197="","",IF(ISERROR(MATCH($J197,SorP!$B$1:$B$6230,0)),"",INDIRECT("'SorP'!$A$"&amp;MATCH($J197,SorP!$B$1:$B$6230,0))))</f>
        <v>CN-JX</v>
      </c>
      <c r="U197" s="241"/>
      <c r="V197" s="275">
        <f>IF(C197="",NA(),MATCH($B197&amp;$C197,'Smelter Look-up'!$J:$J,0))</f>
        <v>534</v>
      </c>
      <c r="W197" s="276"/>
      <c r="X197" s="276">
        <f t="shared" ref="X197" si="28">IF(AND(C197="Smelter not listed",OR(LEN(D197)=0,LEN(E197)=0)),1,0)</f>
        <v>0</v>
      </c>
      <c r="Y197" s="276"/>
      <c r="Z197" s="276"/>
      <c r="AB197" s="278" t="str">
        <f t="shared" ref="AB197" si="29">B197&amp;C197</f>
        <v>TungstenJiangxi Xinsheng Tungsten Industry Co., Ltd.</v>
      </c>
    </row>
    <row r="198" spans="1:28" s="277" customFormat="1" ht="54">
      <c r="A198" s="216"/>
      <c r="B198" s="217" t="s">
        <v>1156</v>
      </c>
      <c r="C198" s="221" t="s">
        <v>1898</v>
      </c>
      <c r="D198" s="283" t="s">
        <v>15619</v>
      </c>
      <c r="E198" s="217" t="s">
        <v>1123</v>
      </c>
      <c r="F198" s="217" t="s">
        <v>15620</v>
      </c>
      <c r="G198" s="217" t="s">
        <v>15513</v>
      </c>
      <c r="H198" s="218">
        <f ca="1">IF(ISERROR($V198),"",OFFSET('Smelter Look-up'!$G$4,$V198-4,0))</f>
        <v>0</v>
      </c>
      <c r="I198" s="219">
        <f ca="1">IF(ISERROR($V198),"",OFFSET('Smelter Look-up'!$H$4,$V198-4,0))</f>
        <v>0</v>
      </c>
      <c r="J198" s="219">
        <f ca="1">IF(ISERROR($V198),"",OFFSET('Smelter Look-up'!$I$4,$V198-4,0))</f>
        <v>0</v>
      </c>
      <c r="K198" s="273"/>
      <c r="L198" s="273"/>
      <c r="M198" s="273"/>
      <c r="N198" s="273"/>
      <c r="O198" s="273"/>
      <c r="P198" s="220"/>
      <c r="Q198" s="274"/>
      <c r="R198" s="217" t="str">
        <f ca="1">IF(ISERROR($V198),"",OFFSET('Smelter Look-up'!$C$4,$V198-4,0)&amp;"")</f>
        <v/>
      </c>
      <c r="S198" s="225" t="str">
        <f t="shared" ref="S198:S229" ca="1" si="30">IF(B198="","",IF(ISERROR(MATCH($E198,CL,0)),"Unknown",INDIRECT("'C'!$A$"&amp;MATCH($E198,CL,0)+1)))</f>
        <v>CN</v>
      </c>
      <c r="T198" s="225" t="str">
        <f ca="1">IF(B198="","",IF(ISERROR(MATCH($J198,SorP!$B$1:$B$6230,0)),"",INDIRECT("'SorP'!$A$"&amp;MATCH($J198,SorP!$B$1:$B$6230,0))))</f>
        <v/>
      </c>
      <c r="U198" s="241"/>
      <c r="V198" s="275">
        <f>IF(C198="",NA(),MATCH($B198&amp;$C198,'Smelter Look-up'!$J:$J,0))</f>
        <v>590</v>
      </c>
      <c r="W198" s="276"/>
      <c r="X198" s="276">
        <f t="shared" ref="X198:X229" si="31">IF(AND(C198="Smelter not listed",OR(LEN(D198)=0,LEN(E198)=0)),1,0)</f>
        <v>0</v>
      </c>
      <c r="Y198" s="276"/>
      <c r="Z198" s="276"/>
      <c r="AB198" s="278" t="str">
        <f t="shared" ref="AB198:AB229" si="32">B198&amp;C198</f>
        <v>TungstenSmelter not listed</v>
      </c>
    </row>
    <row r="199" spans="1:28" s="277" customFormat="1" ht="40.5">
      <c r="A199" s="216"/>
      <c r="B199" s="217" t="s">
        <v>1154</v>
      </c>
      <c r="C199" s="221" t="s">
        <v>1898</v>
      </c>
      <c r="D199" s="283" t="s">
        <v>155</v>
      </c>
      <c r="E199" s="217" t="s">
        <v>1123</v>
      </c>
      <c r="F199" s="217" t="s">
        <v>14250</v>
      </c>
      <c r="G199" s="217" t="s">
        <v>14250</v>
      </c>
      <c r="H199" s="218">
        <f ca="1">IF(ISERROR($V199),"",OFFSET('Smelter Look-up'!$G$4,$V199-4,0))</f>
        <v>0</v>
      </c>
      <c r="I199" s="219">
        <f ca="1">IF(ISERROR($V199),"",OFFSET('Smelter Look-up'!$H$4,$V199-4,0))</f>
        <v>0</v>
      </c>
      <c r="J199" s="219">
        <f ca="1">IF(ISERROR($V199),"",OFFSET('Smelter Look-up'!$I$4,$V199-4,0))</f>
        <v>0</v>
      </c>
      <c r="K199" s="273"/>
      <c r="L199" s="273"/>
      <c r="M199" s="273"/>
      <c r="N199" s="273"/>
      <c r="O199" s="273"/>
      <c r="P199" s="220"/>
      <c r="Q199" s="274"/>
      <c r="R199" s="217" t="str">
        <f ca="1">IF(ISERROR($V199),"",OFFSET('Smelter Look-up'!$C$4,$V199-4,0)&amp;"")</f>
        <v/>
      </c>
      <c r="S199" s="225" t="str">
        <f t="shared" ca="1" si="30"/>
        <v>CN</v>
      </c>
      <c r="T199" s="225" t="str">
        <f ca="1">IF(B199="","",IF(ISERROR(MATCH($J199,SorP!$B$1:$B$6230,0)),"",INDIRECT("'SorP'!$A$"&amp;MATCH($J199,SorP!$B$1:$B$6230,0))))</f>
        <v/>
      </c>
      <c r="U199" s="241"/>
      <c r="V199" s="275">
        <f>IF(C199="",NA(),MATCH($B199&amp;$C199,'Smelter Look-up'!$J:$J,0))</f>
        <v>484</v>
      </c>
      <c r="W199" s="276"/>
      <c r="X199" s="276">
        <f t="shared" si="31"/>
        <v>0</v>
      </c>
      <c r="Y199" s="276"/>
      <c r="Z199" s="276"/>
      <c r="AB199" s="278" t="str">
        <f t="shared" si="32"/>
        <v>TinSmelter not listed</v>
      </c>
    </row>
    <row r="200" spans="1:28" s="277" customFormat="1" ht="94.5">
      <c r="A200" s="216"/>
      <c r="B200" s="217" t="s">
        <v>1156</v>
      </c>
      <c r="C200" s="221" t="s">
        <v>155</v>
      </c>
      <c r="D200" s="283" t="s">
        <v>155</v>
      </c>
      <c r="E200" s="217" t="s">
        <v>1123</v>
      </c>
      <c r="F200" s="217" t="s">
        <v>144</v>
      </c>
      <c r="G200" s="217" t="s">
        <v>15513</v>
      </c>
      <c r="H200" s="218">
        <f ca="1">IF(ISERROR($V200),"",OFFSET('Smelter Look-up'!$G$4,$V200-4,0))</f>
        <v>0</v>
      </c>
      <c r="I200" s="219" t="str">
        <f ca="1">IF(ISERROR($V200),"",OFFSET('Smelter Look-up'!$H$4,$V200-4,0))</f>
        <v>Ganzhou</v>
      </c>
      <c r="J200" s="219" t="str">
        <f ca="1">IF(ISERROR($V200),"",OFFSET('Smelter Look-up'!$I$4,$V200-4,0))</f>
        <v>Jiangxi Sheng</v>
      </c>
      <c r="K200" s="273"/>
      <c r="L200" s="273"/>
      <c r="M200" s="273"/>
      <c r="N200" s="273"/>
      <c r="O200" s="273"/>
      <c r="P200" s="220"/>
      <c r="Q200" s="274"/>
      <c r="R200" s="217" t="str">
        <f ca="1">IF(ISERROR($V200),"",OFFSET('Smelter Look-up'!$C$4,$V200-4,0)&amp;"")</f>
        <v>Jiangxi Yaosheng Tungsten Co., Ltd.</v>
      </c>
      <c r="S200" s="225" t="str">
        <f t="shared" ca="1" si="30"/>
        <v>CN</v>
      </c>
      <c r="T200" s="225" t="str">
        <f ca="1">IF(B200="","",IF(ISERROR(MATCH($J200,SorP!$B$1:$B$6230,0)),"",INDIRECT("'SorP'!$A$"&amp;MATCH($J200,SorP!$B$1:$B$6230,0))))</f>
        <v>CN-JX</v>
      </c>
      <c r="U200" s="241"/>
      <c r="V200" s="275">
        <f>IF(C200="",NA(),MATCH($B200&amp;$C200,'Smelter Look-up'!$J:$J,0))</f>
        <v>535</v>
      </c>
      <c r="W200" s="276"/>
      <c r="X200" s="276">
        <f t="shared" si="31"/>
        <v>0</v>
      </c>
      <c r="Y200" s="276"/>
      <c r="Z200" s="276"/>
      <c r="AB200" s="278" t="str">
        <f t="shared" si="32"/>
        <v>TungstenJiangxi Yaosheng Tungsten Co., Ltd.</v>
      </c>
    </row>
    <row r="201" spans="1:28" s="277" customFormat="1" ht="40.5">
      <c r="A201" s="216"/>
      <c r="B201" s="217" t="s">
        <v>1153</v>
      </c>
      <c r="C201" s="221" t="s">
        <v>1898</v>
      </c>
      <c r="D201" s="283" t="s">
        <v>15621</v>
      </c>
      <c r="E201" s="217" t="s">
        <v>1123</v>
      </c>
      <c r="F201" s="217" t="s">
        <v>14250</v>
      </c>
      <c r="G201" s="217" t="s">
        <v>14250</v>
      </c>
      <c r="H201" s="218">
        <f ca="1">IF(ISERROR($V201),"",OFFSET('Smelter Look-up'!$G$4,$V201-4,0))</f>
        <v>0</v>
      </c>
      <c r="I201" s="219">
        <f ca="1">IF(ISERROR($V201),"",OFFSET('Smelter Look-up'!$H$4,$V201-4,0))</f>
        <v>0</v>
      </c>
      <c r="J201" s="219">
        <f ca="1">IF(ISERROR($V201),"",OFFSET('Smelter Look-up'!$I$4,$V201-4,0))</f>
        <v>0</v>
      </c>
      <c r="K201" s="273"/>
      <c r="L201" s="273"/>
      <c r="M201" s="273"/>
      <c r="N201" s="273"/>
      <c r="O201" s="273"/>
      <c r="P201" s="220"/>
      <c r="Q201" s="274"/>
      <c r="R201" s="217" t="str">
        <f ca="1">IF(ISERROR($V201),"",OFFSET('Smelter Look-up'!$C$4,$V201-4,0)&amp;"")</f>
        <v/>
      </c>
      <c r="S201" s="225" t="str">
        <f t="shared" ca="1" si="30"/>
        <v>CN</v>
      </c>
      <c r="T201" s="225" t="str">
        <f ca="1">IF(B201="","",IF(ISERROR(MATCH($J201,SorP!$B$1:$B$6230,0)),"",INDIRECT("'SorP'!$A$"&amp;MATCH($J201,SorP!$B$1:$B$6230,0))))</f>
        <v/>
      </c>
      <c r="U201" s="241"/>
      <c r="V201" s="275">
        <f>IF(C201="",NA(),MATCH($B201&amp;$C201,'Smelter Look-up'!$J:$J,0))</f>
        <v>293</v>
      </c>
      <c r="W201" s="276"/>
      <c r="X201" s="276">
        <f t="shared" si="31"/>
        <v>0</v>
      </c>
      <c r="Y201" s="276"/>
      <c r="Z201" s="276"/>
      <c r="AB201" s="278" t="str">
        <f t="shared" si="32"/>
        <v>GoldSmelter not listed</v>
      </c>
    </row>
    <row r="202" spans="1:28" s="277" customFormat="1" ht="40.5">
      <c r="A202" s="216"/>
      <c r="B202" s="217" t="s">
        <v>1153</v>
      </c>
      <c r="C202" s="221" t="s">
        <v>1898</v>
      </c>
      <c r="D202" s="283" t="s">
        <v>15622</v>
      </c>
      <c r="E202" s="217" t="s">
        <v>1123</v>
      </c>
      <c r="F202" s="217" t="s">
        <v>14250</v>
      </c>
      <c r="G202" s="217" t="s">
        <v>14250</v>
      </c>
      <c r="H202" s="218">
        <f ca="1">IF(ISERROR($V202),"",OFFSET('Smelter Look-up'!$G$4,$V202-4,0))</f>
        <v>0</v>
      </c>
      <c r="I202" s="219">
        <f ca="1">IF(ISERROR($V202),"",OFFSET('Smelter Look-up'!$H$4,$V202-4,0))</f>
        <v>0</v>
      </c>
      <c r="J202" s="219">
        <f ca="1">IF(ISERROR($V202),"",OFFSET('Smelter Look-up'!$I$4,$V202-4,0))</f>
        <v>0</v>
      </c>
      <c r="K202" s="273"/>
      <c r="L202" s="273"/>
      <c r="M202" s="273"/>
      <c r="N202" s="273"/>
      <c r="O202" s="273"/>
      <c r="P202" s="220"/>
      <c r="Q202" s="274"/>
      <c r="R202" s="217" t="str">
        <f ca="1">IF(ISERROR($V202),"",OFFSET('Smelter Look-up'!$C$4,$V202-4,0)&amp;"")</f>
        <v/>
      </c>
      <c r="S202" s="225" t="str">
        <f t="shared" ca="1" si="30"/>
        <v>CN</v>
      </c>
      <c r="T202" s="225" t="str">
        <f ca="1">IF(B202="","",IF(ISERROR(MATCH($J202,SorP!$B$1:$B$6230,0)),"",INDIRECT("'SorP'!$A$"&amp;MATCH($J202,SorP!$B$1:$B$6230,0))))</f>
        <v/>
      </c>
      <c r="U202" s="241"/>
      <c r="V202" s="275">
        <f>IF(C202="",NA(),MATCH($B202&amp;$C202,'Smelter Look-up'!$J:$J,0))</f>
        <v>293</v>
      </c>
      <c r="W202" s="276"/>
      <c r="X202" s="276">
        <f t="shared" si="31"/>
        <v>0</v>
      </c>
      <c r="Y202" s="276"/>
      <c r="Z202" s="276"/>
      <c r="AB202" s="278" t="str">
        <f t="shared" si="32"/>
        <v>GoldSmelter not listed</v>
      </c>
    </row>
    <row r="203" spans="1:28" s="277" customFormat="1" ht="54">
      <c r="A203" s="216"/>
      <c r="B203" s="217" t="s">
        <v>1155</v>
      </c>
      <c r="C203" s="221" t="s">
        <v>1898</v>
      </c>
      <c r="D203" s="283" t="s">
        <v>15623</v>
      </c>
      <c r="E203" s="217" t="s">
        <v>1123</v>
      </c>
      <c r="F203" s="217" t="s">
        <v>15624</v>
      </c>
      <c r="G203" s="217" t="s">
        <v>15513</v>
      </c>
      <c r="H203" s="218">
        <f ca="1">IF(ISERROR($V203),"",OFFSET('Smelter Look-up'!$G$4,$V203-4,0))</f>
        <v>0</v>
      </c>
      <c r="I203" s="219">
        <f ca="1">IF(ISERROR($V203),"",OFFSET('Smelter Look-up'!$H$4,$V203-4,0))</f>
        <v>0</v>
      </c>
      <c r="J203" s="219">
        <f ca="1">IF(ISERROR($V203),"",OFFSET('Smelter Look-up'!$I$4,$V203-4,0))</f>
        <v>0</v>
      </c>
      <c r="K203" s="273"/>
      <c r="L203" s="273"/>
      <c r="M203" s="273"/>
      <c r="N203" s="273"/>
      <c r="O203" s="273"/>
      <c r="P203" s="220"/>
      <c r="Q203" s="274"/>
      <c r="R203" s="217" t="str">
        <f ca="1">IF(ISERROR($V203),"",OFFSET('Smelter Look-up'!$C$4,$V203-4,0)&amp;"")</f>
        <v/>
      </c>
      <c r="S203" s="225" t="str">
        <f t="shared" ca="1" si="30"/>
        <v>CN</v>
      </c>
      <c r="T203" s="225" t="str">
        <f ca="1">IF(B203="","",IF(ISERROR(MATCH($J203,SorP!$B$1:$B$6230,0)),"",INDIRECT("'SorP'!$A$"&amp;MATCH($J203,SorP!$B$1:$B$6230,0))))</f>
        <v/>
      </c>
      <c r="U203" s="241"/>
      <c r="V203" s="275">
        <f>IF(C203="",NA(),MATCH($B203&amp;$C203,'Smelter Look-up'!$J:$J,0))</f>
        <v>353</v>
      </c>
      <c r="W203" s="276"/>
      <c r="X203" s="276">
        <f t="shared" si="31"/>
        <v>0</v>
      </c>
      <c r="Y203" s="276"/>
      <c r="Z203" s="276"/>
      <c r="AB203" s="278" t="str">
        <f t="shared" si="32"/>
        <v>TantalumSmelter not listed</v>
      </c>
    </row>
    <row r="204" spans="1:28" s="277" customFormat="1" ht="94.5">
      <c r="A204" s="216"/>
      <c r="B204" s="217" t="s">
        <v>1155</v>
      </c>
      <c r="C204" s="221" t="s">
        <v>5</v>
      </c>
      <c r="D204" s="283" t="s">
        <v>5</v>
      </c>
      <c r="E204" s="217" t="s">
        <v>1123</v>
      </c>
      <c r="F204" s="217" t="s">
        <v>769</v>
      </c>
      <c r="G204" s="217" t="s">
        <v>15513</v>
      </c>
      <c r="H204" s="218">
        <f ca="1">IF(ISERROR($V204),"",OFFSET('Smelter Look-up'!$G$4,$V204-4,0))</f>
        <v>0</v>
      </c>
      <c r="I204" s="219" t="str">
        <f ca="1">IF(ISERROR($V204),"",OFFSET('Smelter Look-up'!$H$4,$V204-4,0))</f>
        <v>Jiujiang</v>
      </c>
      <c r="J204" s="219" t="str">
        <f ca="1">IF(ISERROR($V204),"",OFFSET('Smelter Look-up'!$I$4,$V204-4,0))</f>
        <v>Jiangxi Sheng</v>
      </c>
      <c r="K204" s="273"/>
      <c r="L204" s="273"/>
      <c r="M204" s="273"/>
      <c r="N204" s="273"/>
      <c r="O204" s="273"/>
      <c r="P204" s="220"/>
      <c r="Q204" s="274"/>
      <c r="R204" s="217" t="str">
        <f ca="1">IF(ISERROR($V204),"",OFFSET('Smelter Look-up'!$C$4,$V204-4,0)&amp;"")</f>
        <v>JiuJiang JinXin Nonferrous Metals Co., Ltd.</v>
      </c>
      <c r="S204" s="225" t="str">
        <f t="shared" ca="1" si="30"/>
        <v>CN</v>
      </c>
      <c r="T204" s="225" t="str">
        <f ca="1">IF(B204="","",IF(ISERROR(MATCH($J204,SorP!$B$1:$B$6230,0)),"",INDIRECT("'SorP'!$A$"&amp;MATCH($J204,SorP!$B$1:$B$6230,0))))</f>
        <v>CN-JX</v>
      </c>
      <c r="U204" s="241"/>
      <c r="V204" s="275">
        <f>IF(C204="",NA(),MATCH($B204&amp;$C204,'Smelter Look-up'!$J:$J,0))</f>
        <v>316</v>
      </c>
      <c r="W204" s="276"/>
      <c r="X204" s="276">
        <f t="shared" si="31"/>
        <v>0</v>
      </c>
      <c r="Y204" s="276"/>
      <c r="Z204" s="276"/>
      <c r="AB204" s="278" t="str">
        <f t="shared" si="32"/>
        <v>TantalumJiuJiang JinXin Nonferrous Metals Co., Ltd.</v>
      </c>
    </row>
    <row r="205" spans="1:28" s="277" customFormat="1" ht="54">
      <c r="A205" s="216"/>
      <c r="B205" s="217" t="s">
        <v>1155</v>
      </c>
      <c r="C205" s="221" t="s">
        <v>48</v>
      </c>
      <c r="D205" s="283" t="s">
        <v>48</v>
      </c>
      <c r="E205" s="217" t="s">
        <v>1123</v>
      </c>
      <c r="F205" s="217" t="s">
        <v>770</v>
      </c>
      <c r="G205" s="217" t="s">
        <v>15513</v>
      </c>
      <c r="H205" s="218">
        <f ca="1">IF(ISERROR($V205),"",OFFSET('Smelter Look-up'!$G$4,$V205-4,0))</f>
        <v>0</v>
      </c>
      <c r="I205" s="219" t="str">
        <f ca="1">IF(ISERROR($V205),"",OFFSET('Smelter Look-up'!$H$4,$V205-4,0))</f>
        <v>Jiujiang</v>
      </c>
      <c r="J205" s="219" t="str">
        <f ca="1">IF(ISERROR($V205),"",OFFSET('Smelter Look-up'!$I$4,$V205-4,0))</f>
        <v>Jiangxi Sheng</v>
      </c>
      <c r="K205" s="273"/>
      <c r="L205" s="273"/>
      <c r="M205" s="273"/>
      <c r="N205" s="273"/>
      <c r="O205" s="273"/>
      <c r="P205" s="220"/>
      <c r="Q205" s="274"/>
      <c r="R205" s="217" t="str">
        <f ca="1">IF(ISERROR($V205),"",OFFSET('Smelter Look-up'!$C$4,$V205-4,0)&amp;"")</f>
        <v>Jiujiang Tanbre Co., Ltd.</v>
      </c>
      <c r="S205" s="225" t="str">
        <f t="shared" ca="1" si="30"/>
        <v>CN</v>
      </c>
      <c r="T205" s="225" t="str">
        <f ca="1">IF(B205="","",IF(ISERROR(MATCH($J205,SorP!$B$1:$B$6230,0)),"",INDIRECT("'SorP'!$A$"&amp;MATCH($J205,SorP!$B$1:$B$6230,0))))</f>
        <v>CN-JX</v>
      </c>
      <c r="U205" s="241"/>
      <c r="V205" s="275">
        <f>IF(C205="",NA(),MATCH($B205&amp;$C205,'Smelter Look-up'!$J:$J,0))</f>
        <v>318</v>
      </c>
      <c r="W205" s="276"/>
      <c r="X205" s="276">
        <f t="shared" si="31"/>
        <v>0</v>
      </c>
      <c r="Y205" s="276"/>
      <c r="Z205" s="276"/>
      <c r="AB205" s="278" t="str">
        <f t="shared" si="32"/>
        <v>TantalumJiujiang Tanbre Co., Ltd.</v>
      </c>
    </row>
    <row r="206" spans="1:28" s="277" customFormat="1" ht="108">
      <c r="A206" s="216"/>
      <c r="B206" s="217" t="s">
        <v>1155</v>
      </c>
      <c r="C206" s="221" t="s">
        <v>2276</v>
      </c>
      <c r="D206" s="283" t="s">
        <v>2276</v>
      </c>
      <c r="E206" s="217" t="s">
        <v>1123</v>
      </c>
      <c r="F206" s="217" t="s">
        <v>1422</v>
      </c>
      <c r="G206" s="217" t="s">
        <v>15513</v>
      </c>
      <c r="H206" s="218">
        <f ca="1">IF(ISERROR($V206),"",OFFSET('Smelter Look-up'!$G$4,$V206-4,0))</f>
        <v>0</v>
      </c>
      <c r="I206" s="219" t="str">
        <f ca="1">IF(ISERROR($V206),"",OFFSET('Smelter Look-up'!$H$4,$V206-4,0))</f>
        <v>Jiujiang</v>
      </c>
      <c r="J206" s="219" t="str">
        <f ca="1">IF(ISERROR($V206),"",OFFSET('Smelter Look-up'!$I$4,$V206-4,0))</f>
        <v>Jiangxi Sheng</v>
      </c>
      <c r="K206" s="273"/>
      <c r="L206" s="273"/>
      <c r="M206" s="273"/>
      <c r="N206" s="273"/>
      <c r="O206" s="273"/>
      <c r="P206" s="220"/>
      <c r="Q206" s="274"/>
      <c r="R206" s="217" t="str">
        <f ca="1">IF(ISERROR($V206),"",OFFSET('Smelter Look-up'!$C$4,$V206-4,0)&amp;"")</f>
        <v>Jiujiang Zhongao Tantalum &amp; Niobium Co., Ltd.</v>
      </c>
      <c r="S206" s="225" t="str">
        <f t="shared" ca="1" si="30"/>
        <v>CN</v>
      </c>
      <c r="T206" s="225" t="str">
        <f ca="1">IF(B206="","",IF(ISERROR(MATCH($J206,SorP!$B$1:$B$6230,0)),"",INDIRECT("'SorP'!$A$"&amp;MATCH($J206,SorP!$B$1:$B$6230,0))))</f>
        <v>CN-JX</v>
      </c>
      <c r="U206" s="241"/>
      <c r="V206" s="275">
        <f>IF(C206="",NA(),MATCH($B206&amp;$C206,'Smelter Look-up'!$J:$J,0))</f>
        <v>319</v>
      </c>
      <c r="W206" s="276"/>
      <c r="X206" s="276">
        <f t="shared" si="31"/>
        <v>0</v>
      </c>
      <c r="Y206" s="276"/>
      <c r="Z206" s="276"/>
      <c r="AB206" s="278" t="str">
        <f t="shared" si="32"/>
        <v>TantalumJiujiang Zhongao Tantalum &amp; Niobium Co., Ltd.</v>
      </c>
    </row>
    <row r="207" spans="1:28" s="277" customFormat="1" ht="40.5">
      <c r="A207" s="216"/>
      <c r="B207" s="217" t="s">
        <v>1153</v>
      </c>
      <c r="C207" s="221" t="s">
        <v>1898</v>
      </c>
      <c r="D207" s="283" t="s">
        <v>15625</v>
      </c>
      <c r="E207" s="217" t="s">
        <v>2576</v>
      </c>
      <c r="F207" s="217" t="s">
        <v>14250</v>
      </c>
      <c r="G207" s="217" t="s">
        <v>14250</v>
      </c>
      <c r="H207" s="218" t="s">
        <v>15514</v>
      </c>
      <c r="I207" s="219" t="s">
        <v>1629</v>
      </c>
      <c r="J207" s="219" t="s">
        <v>1630</v>
      </c>
      <c r="K207" s="273"/>
      <c r="L207" s="273"/>
      <c r="M207" s="273"/>
      <c r="N207" s="273"/>
      <c r="O207" s="273"/>
      <c r="P207" s="220"/>
      <c r="Q207" s="274"/>
      <c r="R207" s="217" t="str">
        <f ca="1">IF(ISERROR($V207),"",OFFSET('Smelter Look-up'!$C$4,$V207-4,0)&amp;"")</f>
        <v/>
      </c>
      <c r="S207" s="225" t="str">
        <f t="shared" ca="1" si="30"/>
        <v>US</v>
      </c>
      <c r="T207" s="225" t="str">
        <f ca="1">IF(B207="","",IF(ISERROR(MATCH($J207,SorP!$B$1:$B$6230,0)),"",INDIRECT("'SorP'!$A$"&amp;MATCH($J207,SorP!$B$1:$B$6230,0))))</f>
        <v>US-UT</v>
      </c>
      <c r="U207" s="241"/>
      <c r="V207" s="275">
        <f>IF(C207="",NA(),MATCH($B207&amp;$C207,'Smelter Look-up'!$J:$J,0))</f>
        <v>293</v>
      </c>
      <c r="W207" s="276"/>
      <c r="X207" s="276">
        <f t="shared" si="31"/>
        <v>0</v>
      </c>
      <c r="Y207" s="276"/>
      <c r="Z207" s="276"/>
      <c r="AB207" s="278" t="str">
        <f t="shared" si="32"/>
        <v>GoldSmelter not listed</v>
      </c>
    </row>
    <row r="208" spans="1:28" s="277" customFormat="1" ht="81">
      <c r="A208" s="216"/>
      <c r="B208" s="217" t="s">
        <v>1156</v>
      </c>
      <c r="C208" s="221" t="s">
        <v>14171</v>
      </c>
      <c r="D208" s="283" t="s">
        <v>14171</v>
      </c>
      <c r="E208" s="217" t="s">
        <v>906</v>
      </c>
      <c r="F208" s="217" t="s">
        <v>14172</v>
      </c>
      <c r="G208" s="217" t="s">
        <v>14250</v>
      </c>
      <c r="H208" s="218">
        <f ca="1">IF(ISERROR($V208),"",OFFSET('Smelter Look-up'!$G$4,$V208-4,0))</f>
        <v>0</v>
      </c>
      <c r="I208" s="219" t="str">
        <f ca="1">IF(ISERROR($V208),"",OFFSET('Smelter Look-up'!$H$4,$V208-4,0))</f>
        <v>Kirovgrad</v>
      </c>
      <c r="J208" s="219" t="str">
        <f ca="1">IF(ISERROR($V208),"",OFFSET('Smelter Look-up'!$I$4,$V208-4,0))</f>
        <v>Sverdlovskaya oblast'</v>
      </c>
      <c r="K208" s="273"/>
      <c r="L208" s="273"/>
      <c r="M208" s="273"/>
      <c r="N208" s="273"/>
      <c r="O208" s="273"/>
      <c r="P208" s="220"/>
      <c r="Q208" s="274"/>
      <c r="R208" s="217" t="str">
        <f ca="1">IF(ISERROR($V208),"",OFFSET('Smelter Look-up'!$C$4,$V208-4,0)&amp;"")</f>
        <v>JSC "Kirovgrad Hard Alloys Plant"</v>
      </c>
      <c r="S208" s="225" t="str">
        <f t="shared" ca="1" si="30"/>
        <v>RU</v>
      </c>
      <c r="T208" s="225" t="str">
        <f ca="1">IF(B208="","",IF(ISERROR(MATCH($J208,SorP!$B$1:$B$6230,0)),"",INDIRECT("'SorP'!$A$"&amp;MATCH($J208,SorP!$B$1:$B$6230,0))))</f>
        <v>RU-SVE</v>
      </c>
      <c r="U208" s="241"/>
      <c r="V208" s="275">
        <f>IF(C208="",NA(),MATCH($B208&amp;$C208,'Smelter Look-up'!$J:$J,0))</f>
        <v>536</v>
      </c>
      <c r="W208" s="276"/>
      <c r="X208" s="276">
        <f t="shared" si="31"/>
        <v>0</v>
      </c>
      <c r="Y208" s="276"/>
      <c r="Z208" s="276"/>
      <c r="AB208" s="278" t="str">
        <f t="shared" si="32"/>
        <v>TungstenJSC "Kirovgrad Hard Alloys Plant"</v>
      </c>
    </row>
    <row r="209" spans="1:28" s="277" customFormat="1" ht="108">
      <c r="A209" s="216"/>
      <c r="B209" s="217" t="s">
        <v>1153</v>
      </c>
      <c r="C209" s="221" t="s">
        <v>932</v>
      </c>
      <c r="D209" s="283" t="s">
        <v>932</v>
      </c>
      <c r="E209" s="217" t="s">
        <v>906</v>
      </c>
      <c r="F209" s="217" t="s">
        <v>706</v>
      </c>
      <c r="G209" s="217" t="s">
        <v>15513</v>
      </c>
      <c r="H209" s="218">
        <f ca="1">IF(ISERROR($V209),"",OFFSET('Smelter Look-up'!$G$4,$V209-4,0))</f>
        <v>0</v>
      </c>
      <c r="I209" s="219" t="str">
        <f ca="1">IF(ISERROR($V209),"",OFFSET('Smelter Look-up'!$H$4,$V209-4,0))</f>
        <v>Verkhnyaya Pyshma</v>
      </c>
      <c r="J209" s="219" t="str">
        <f ca="1">IF(ISERROR($V209),"",OFFSET('Smelter Look-up'!$I$4,$V209-4,0))</f>
        <v>Sverdlovskaya oblast'</v>
      </c>
      <c r="K209" s="273"/>
      <c r="L209" s="273"/>
      <c r="M209" s="273"/>
      <c r="N209" s="273"/>
      <c r="O209" s="273"/>
      <c r="P209" s="220"/>
      <c r="Q209" s="274"/>
      <c r="R209" s="217" t="str">
        <f ca="1">IF(ISERROR($V209),"",OFFSET('Smelter Look-up'!$C$4,$V209-4,0)&amp;"")</f>
        <v>JSC Ekaterinburg Non-Ferrous Metal Processing Plant</v>
      </c>
      <c r="S209" s="225" t="str">
        <f t="shared" ca="1" si="30"/>
        <v>RU</v>
      </c>
      <c r="T209" s="225" t="str">
        <f ca="1">IF(B209="","",IF(ISERROR(MATCH($J209,SorP!$B$1:$B$6230,0)),"",INDIRECT("'SorP'!$A$"&amp;MATCH($J209,SorP!$B$1:$B$6230,0))))</f>
        <v>RU-SVE</v>
      </c>
      <c r="U209" s="241"/>
      <c r="V209" s="275">
        <f>IF(C209="",NA(),MATCH($B209&amp;$C209,'Smelter Look-up'!$J:$J,0))</f>
        <v>118</v>
      </c>
      <c r="W209" s="276"/>
      <c r="X209" s="276">
        <f t="shared" si="31"/>
        <v>0</v>
      </c>
      <c r="Y209" s="276"/>
      <c r="Z209" s="276"/>
      <c r="AB209" s="278" t="str">
        <f t="shared" si="32"/>
        <v>GoldJSC Ekaterinburg Non-Ferrous Metal Processing Plant</v>
      </c>
    </row>
    <row r="210" spans="1:28" s="277" customFormat="1" ht="40.5">
      <c r="A210" s="216"/>
      <c r="B210" s="217" t="s">
        <v>1153</v>
      </c>
      <c r="C210" s="221" t="s">
        <v>1430</v>
      </c>
      <c r="D210" s="283" t="s">
        <v>1430</v>
      </c>
      <c r="E210" s="217" t="s">
        <v>906</v>
      </c>
      <c r="F210" s="217" t="s">
        <v>707</v>
      </c>
      <c r="G210" s="217" t="s">
        <v>15513</v>
      </c>
      <c r="H210" s="218">
        <f ca="1">IF(ISERROR($V210),"",OFFSET('Smelter Look-up'!$G$4,$V210-4,0))</f>
        <v>0</v>
      </c>
      <c r="I210" s="219" t="str">
        <f ca="1">IF(ISERROR($V210),"",OFFSET('Smelter Look-up'!$H$4,$V210-4,0))</f>
        <v>Verkhnyaya Pyshma</v>
      </c>
      <c r="J210" s="219" t="str">
        <f ca="1">IF(ISERROR($V210),"",OFFSET('Smelter Look-up'!$I$4,$V210-4,0))</f>
        <v>Sverdlovskaya oblast'</v>
      </c>
      <c r="K210" s="273"/>
      <c r="L210" s="273"/>
      <c r="M210" s="273"/>
      <c r="N210" s="273"/>
      <c r="O210" s="273"/>
      <c r="P210" s="220"/>
      <c r="Q210" s="274"/>
      <c r="R210" s="217" t="str">
        <f ca="1">IF(ISERROR($V210),"",OFFSET('Smelter Look-up'!$C$4,$V210-4,0)&amp;"")</f>
        <v>JSC Uralelectromed</v>
      </c>
      <c r="S210" s="225" t="str">
        <f t="shared" ca="1" si="30"/>
        <v>RU</v>
      </c>
      <c r="T210" s="225" t="str">
        <f ca="1">IF(B210="","",IF(ISERROR(MATCH($J210,SorP!$B$1:$B$6230,0)),"",INDIRECT("'SorP'!$A$"&amp;MATCH($J210,SorP!$B$1:$B$6230,0))))</f>
        <v>RU-SVE</v>
      </c>
      <c r="U210" s="241"/>
      <c r="V210" s="275">
        <f>IF(C210="",NA(),MATCH($B210&amp;$C210,'Smelter Look-up'!$J:$J,0))</f>
        <v>119</v>
      </c>
      <c r="W210" s="276"/>
      <c r="X210" s="276">
        <f t="shared" si="31"/>
        <v>0</v>
      </c>
      <c r="Y210" s="276"/>
      <c r="Z210" s="276"/>
      <c r="AB210" s="278" t="str">
        <f t="shared" si="32"/>
        <v>GoldJSC Uralelectromed</v>
      </c>
    </row>
    <row r="211" spans="1:28" s="277" customFormat="1" ht="40.5">
      <c r="A211" s="216"/>
      <c r="B211" s="217" t="s">
        <v>1154</v>
      </c>
      <c r="C211" s="221" t="s">
        <v>1898</v>
      </c>
      <c r="D211" s="283" t="s">
        <v>15626</v>
      </c>
      <c r="E211" s="217" t="s">
        <v>1123</v>
      </c>
      <c r="F211" s="217" t="s">
        <v>14250</v>
      </c>
      <c r="G211" s="217" t="s">
        <v>14250</v>
      </c>
      <c r="H211" s="218">
        <f ca="1">IF(ISERROR($V211),"",OFFSET('Smelter Look-up'!$G$4,$V211-4,0))</f>
        <v>0</v>
      </c>
      <c r="I211" s="219">
        <f ca="1">IF(ISERROR($V211),"",OFFSET('Smelter Look-up'!$H$4,$V211-4,0))</f>
        <v>0</v>
      </c>
      <c r="J211" s="219">
        <f ca="1">IF(ISERROR($V211),"",OFFSET('Smelter Look-up'!$I$4,$V211-4,0))</f>
        <v>0</v>
      </c>
      <c r="K211" s="273"/>
      <c r="L211" s="273"/>
      <c r="M211" s="273"/>
      <c r="N211" s="273"/>
      <c r="O211" s="273"/>
      <c r="P211" s="220"/>
      <c r="Q211" s="274"/>
      <c r="R211" s="217" t="str">
        <f ca="1">IF(ISERROR($V211),"",OFFSET('Smelter Look-up'!$C$4,$V211-4,0)&amp;"")</f>
        <v/>
      </c>
      <c r="S211" s="225" t="str">
        <f t="shared" ca="1" si="30"/>
        <v>CN</v>
      </c>
      <c r="T211" s="225" t="str">
        <f ca="1">IF(B211="","",IF(ISERROR(MATCH($J211,SorP!$B$1:$B$6230,0)),"",INDIRECT("'SorP'!$A$"&amp;MATCH($J211,SorP!$B$1:$B$6230,0))))</f>
        <v/>
      </c>
      <c r="U211" s="241"/>
      <c r="V211" s="275">
        <f>IF(C211="",NA(),MATCH($B211&amp;$C211,'Smelter Look-up'!$J:$J,0))</f>
        <v>484</v>
      </c>
      <c r="W211" s="276"/>
      <c r="X211" s="276">
        <f t="shared" si="31"/>
        <v>0</v>
      </c>
      <c r="Y211" s="276"/>
      <c r="Z211" s="276"/>
      <c r="AB211" s="278" t="str">
        <f t="shared" si="32"/>
        <v>TinSmelter not listed</v>
      </c>
    </row>
    <row r="212" spans="1:28" s="277" customFormat="1" ht="67.5">
      <c r="A212" s="216"/>
      <c r="B212" s="217" t="s">
        <v>1153</v>
      </c>
      <c r="C212" s="221" t="s">
        <v>57</v>
      </c>
      <c r="D212" s="283" t="s">
        <v>57</v>
      </c>
      <c r="E212" s="217" t="s">
        <v>1131</v>
      </c>
      <c r="F212" s="217" t="s">
        <v>708</v>
      </c>
      <c r="G212" s="217" t="s">
        <v>15513</v>
      </c>
      <c r="H212" s="218">
        <f ca="1">IF(ISERROR($V212),"",OFFSET('Smelter Look-up'!$G$4,$V212-4,0))</f>
        <v>0</v>
      </c>
      <c r="I212" s="219" t="str">
        <f ca="1">IF(ISERROR($V212),"",OFFSET('Smelter Look-up'!$H$4,$V212-4,0))</f>
        <v>Ōita</v>
      </c>
      <c r="J212" s="219" t="str">
        <f ca="1">IF(ISERROR($V212),"",OFFSET('Smelter Look-up'!$I$4,$V212-4,0))</f>
        <v>Ôita</v>
      </c>
      <c r="K212" s="273"/>
      <c r="L212" s="273"/>
      <c r="M212" s="273"/>
      <c r="N212" s="273"/>
      <c r="O212" s="273"/>
      <c r="P212" s="220"/>
      <c r="Q212" s="274"/>
      <c r="R212" s="217" t="str">
        <f ca="1">IF(ISERROR($V212),"",OFFSET('Smelter Look-up'!$C$4,$V212-4,0)&amp;"")</f>
        <v>JX Nippon Mining &amp; Metals Co., Ltd.</v>
      </c>
      <c r="S212" s="225" t="str">
        <f t="shared" ca="1" si="30"/>
        <v>JP</v>
      </c>
      <c r="T212" s="225" t="str">
        <f ca="1">IF(B212="","",IF(ISERROR(MATCH($J212,SorP!$B$1:$B$6230,0)),"",INDIRECT("'SorP'!$A$"&amp;MATCH($J212,SorP!$B$1:$B$6230,0))))</f>
        <v>JP-44</v>
      </c>
      <c r="U212" s="241"/>
      <c r="V212" s="275">
        <f>IF(C212="",NA(),MATCH($B212&amp;$C212,'Smelter Look-up'!$J:$J,0))</f>
        <v>120</v>
      </c>
      <c r="W212" s="276"/>
      <c r="X212" s="276">
        <f t="shared" si="31"/>
        <v>0</v>
      </c>
      <c r="Y212" s="276"/>
      <c r="Z212" s="276"/>
      <c r="AB212" s="278" t="str">
        <f t="shared" si="32"/>
        <v>GoldJX Nippon Mining &amp; Metals Co., Ltd.</v>
      </c>
    </row>
    <row r="213" spans="1:28" s="277" customFormat="1" ht="40.5">
      <c r="A213" s="216"/>
      <c r="B213" s="217" t="s">
        <v>1153</v>
      </c>
      <c r="C213" s="221" t="s">
        <v>1898</v>
      </c>
      <c r="D213" s="283" t="s">
        <v>15627</v>
      </c>
      <c r="E213" s="217" t="s">
        <v>13422</v>
      </c>
      <c r="F213" s="217" t="s">
        <v>14250</v>
      </c>
      <c r="G213" s="217" t="s">
        <v>14250</v>
      </c>
      <c r="H213" s="218" t="s">
        <v>15628</v>
      </c>
      <c r="I213" s="219" t="s">
        <v>14250</v>
      </c>
      <c r="J213" s="219" t="s">
        <v>14250</v>
      </c>
      <c r="K213" s="273" t="s">
        <v>15629</v>
      </c>
      <c r="L213" s="273" t="s">
        <v>15630</v>
      </c>
      <c r="M213" s="273"/>
      <c r="N213" s="273"/>
      <c r="O213" s="273" t="s">
        <v>15521</v>
      </c>
      <c r="P213" s="220"/>
      <c r="Q213" s="274"/>
      <c r="R213" s="217" t="str">
        <f ca="1">IF(ISERROR($V213),"",OFFSET('Smelter Look-up'!$C$4,$V213-4,0)&amp;"")</f>
        <v/>
      </c>
      <c r="S213" s="225" t="str">
        <f t="shared" ca="1" si="30"/>
        <v>NO</v>
      </c>
      <c r="T213" s="225" t="str">
        <f ca="1">IF(B213="","",IF(ISERROR(MATCH($J213,SorP!$B$1:$B$6230,0)),"",INDIRECT("'SorP'!$A$"&amp;MATCH($J213,SorP!$B$1:$B$6230,0))))</f>
        <v/>
      </c>
      <c r="U213" s="241"/>
      <c r="V213" s="275">
        <f>IF(C213="",NA(),MATCH($B213&amp;$C213,'Smelter Look-up'!$J:$J,0))</f>
        <v>293</v>
      </c>
      <c r="W213" s="276"/>
      <c r="X213" s="276">
        <f t="shared" si="31"/>
        <v>0</v>
      </c>
      <c r="Y213" s="276"/>
      <c r="Z213" s="276"/>
      <c r="AB213" s="278" t="str">
        <f t="shared" si="32"/>
        <v>GoldSmelter not listed</v>
      </c>
    </row>
    <row r="214" spans="1:28" s="277" customFormat="1" ht="54">
      <c r="A214" s="216"/>
      <c r="B214" s="217" t="s">
        <v>1153</v>
      </c>
      <c r="C214" s="221" t="s">
        <v>1742</v>
      </c>
      <c r="D214" s="283" t="s">
        <v>1742</v>
      </c>
      <c r="E214" s="217" t="s">
        <v>1115</v>
      </c>
      <c r="F214" s="217" t="s">
        <v>1743</v>
      </c>
      <c r="G214" s="217" t="s">
        <v>15513</v>
      </c>
      <c r="H214" s="218">
        <f ca="1">IF(ISERROR($V214),"",OFFSET('Smelter Look-up'!$G$4,$V214-4,0))</f>
        <v>0</v>
      </c>
      <c r="I214" s="219" t="str">
        <f ca="1">IF(ISERROR($V214),"",OFFSET('Smelter Look-up'!$H$4,$V214-4,0))</f>
        <v>Dubai</v>
      </c>
      <c r="J214" s="219" t="str">
        <f ca="1">IF(ISERROR($V214),"",OFFSET('Smelter Look-up'!$I$4,$V214-4,0))</f>
        <v>Dubayy</v>
      </c>
      <c r="K214" s="273"/>
      <c r="L214" s="273"/>
      <c r="M214" s="273"/>
      <c r="N214" s="273"/>
      <c r="O214" s="273"/>
      <c r="P214" s="220"/>
      <c r="Q214" s="274"/>
      <c r="R214" s="217" t="str">
        <f ca="1">IF(ISERROR($V214),"",OFFSET('Smelter Look-up'!$C$4,$V214-4,0)&amp;"")</f>
        <v>Kaloti Precious Metals</v>
      </c>
      <c r="S214" s="225" t="str">
        <f t="shared" ca="1" si="30"/>
        <v>AE</v>
      </c>
      <c r="T214" s="225" t="str">
        <f ca="1">IF(B214="","",IF(ISERROR(MATCH($J214,SorP!$B$1:$B$6230,0)),"",INDIRECT("'SorP'!$A$"&amp;MATCH($J214,SorP!$B$1:$B$6230,0))))</f>
        <v>AE-DU</v>
      </c>
      <c r="U214" s="241"/>
      <c r="V214" s="275">
        <f>IF(C214="",NA(),MATCH($B214&amp;$C214,'Smelter Look-up'!$J:$J,0))</f>
        <v>121</v>
      </c>
      <c r="W214" s="276"/>
      <c r="X214" s="276">
        <f t="shared" si="31"/>
        <v>0</v>
      </c>
      <c r="Y214" s="276"/>
      <c r="Z214" s="276"/>
      <c r="AB214" s="278" t="str">
        <f t="shared" si="32"/>
        <v>GoldKaloti Precious Metals</v>
      </c>
    </row>
    <row r="215" spans="1:28" s="277" customFormat="1" ht="54">
      <c r="A215" s="216"/>
      <c r="B215" s="217" t="s">
        <v>1153</v>
      </c>
      <c r="C215" s="221" t="s">
        <v>2303</v>
      </c>
      <c r="D215" s="283" t="s">
        <v>2303</v>
      </c>
      <c r="E215" s="217" t="s">
        <v>1132</v>
      </c>
      <c r="F215" s="217" t="s">
        <v>2304</v>
      </c>
      <c r="G215" s="217" t="s">
        <v>15513</v>
      </c>
      <c r="H215" s="218">
        <f ca="1">IF(ISERROR($V215),"",OFFSET('Smelter Look-up'!$G$4,$V215-4,0))</f>
        <v>0</v>
      </c>
      <c r="I215" s="219" t="str">
        <f ca="1">IF(ISERROR($V215),"",OFFSET('Smelter Look-up'!$H$4,$V215-4,0))</f>
        <v>Balkhash</v>
      </c>
      <c r="J215" s="219" t="str">
        <f ca="1">IF(ISERROR($V215),"",OFFSET('Smelter Look-up'!$I$4,$V215-4,0))</f>
        <v>Qaraghandy oblysy</v>
      </c>
      <c r="K215" s="273"/>
      <c r="L215" s="273"/>
      <c r="M215" s="273"/>
      <c r="N215" s="273"/>
      <c r="O215" s="273"/>
      <c r="P215" s="220"/>
      <c r="Q215" s="274"/>
      <c r="R215" s="217" t="str">
        <f ca="1">IF(ISERROR($V215),"",OFFSET('Smelter Look-up'!$C$4,$V215-4,0)&amp;"")</f>
        <v>Kazakhmys Smelting LLC</v>
      </c>
      <c r="S215" s="225" t="str">
        <f t="shared" ca="1" si="30"/>
        <v>KZ</v>
      </c>
      <c r="T215" s="225" t="str">
        <f ca="1">IF(B215="","",IF(ISERROR(MATCH($J215,SorP!$B$1:$B$6230,0)),"",INDIRECT("'SorP'!$A$"&amp;MATCH($J215,SorP!$B$1:$B$6230,0))))</f>
        <v>KZ-KAR</v>
      </c>
      <c r="U215" s="241"/>
      <c r="V215" s="275">
        <f>IF(C215="",NA(),MATCH($B215&amp;$C215,'Smelter Look-up'!$J:$J,0))</f>
        <v>122</v>
      </c>
      <c r="W215" s="276"/>
      <c r="X215" s="276">
        <f t="shared" si="31"/>
        <v>0</v>
      </c>
      <c r="Y215" s="276"/>
      <c r="Z215" s="276"/>
      <c r="AB215" s="278" t="str">
        <f t="shared" si="32"/>
        <v>GoldKazakhmys Smelting LLC</v>
      </c>
    </row>
    <row r="216" spans="1:28" s="277" customFormat="1" ht="27">
      <c r="A216" s="216"/>
      <c r="B216" s="217" t="s">
        <v>1153</v>
      </c>
      <c r="C216" s="221" t="s">
        <v>1635</v>
      </c>
      <c r="D216" s="283" t="s">
        <v>1635</v>
      </c>
      <c r="E216" s="217" t="s">
        <v>1132</v>
      </c>
      <c r="F216" s="217" t="s">
        <v>709</v>
      </c>
      <c r="G216" s="217" t="s">
        <v>15513</v>
      </c>
      <c r="H216" s="218">
        <f ca="1">IF(ISERROR($V216),"",OFFSET('Smelter Look-up'!$G$4,$V216-4,0))</f>
        <v>0</v>
      </c>
      <c r="I216" s="219" t="str">
        <f ca="1">IF(ISERROR($V216),"",OFFSET('Smelter Look-up'!$H$4,$V216-4,0))</f>
        <v>Ust-Kamenogorsk</v>
      </c>
      <c r="J216" s="219" t="str">
        <f ca="1">IF(ISERROR($V216),"",OFFSET('Smelter Look-up'!$I$4,$V216-4,0))</f>
        <v>Qaraghandy oblysy</v>
      </c>
      <c r="K216" s="273"/>
      <c r="L216" s="273"/>
      <c r="M216" s="273"/>
      <c r="N216" s="273"/>
      <c r="O216" s="273"/>
      <c r="P216" s="220"/>
      <c r="Q216" s="274"/>
      <c r="R216" s="217" t="str">
        <f ca="1">IF(ISERROR($V216),"",OFFSET('Smelter Look-up'!$C$4,$V216-4,0)&amp;"")</f>
        <v>Kazzinc</v>
      </c>
      <c r="S216" s="225" t="str">
        <f t="shared" ca="1" si="30"/>
        <v>KZ</v>
      </c>
      <c r="T216" s="225" t="str">
        <f ca="1">IF(B216="","",IF(ISERROR(MATCH($J216,SorP!$B$1:$B$6230,0)),"",INDIRECT("'SorP'!$A$"&amp;MATCH($J216,SorP!$B$1:$B$6230,0))))</f>
        <v>KZ-KAR</v>
      </c>
      <c r="U216" s="241"/>
      <c r="V216" s="275">
        <f>IF(C216="",NA(),MATCH($B216&amp;$C216,'Smelter Look-up'!$J:$J,0))</f>
        <v>123</v>
      </c>
      <c r="W216" s="276"/>
      <c r="X216" s="276">
        <f t="shared" si="31"/>
        <v>0</v>
      </c>
      <c r="Y216" s="276"/>
      <c r="Z216" s="276"/>
      <c r="AB216" s="278" t="str">
        <f t="shared" si="32"/>
        <v>GoldKazzinc</v>
      </c>
    </row>
    <row r="217" spans="1:28" s="277" customFormat="1" ht="54">
      <c r="A217" s="216"/>
      <c r="B217" s="217" t="s">
        <v>1155</v>
      </c>
      <c r="C217" s="221" t="s">
        <v>1448</v>
      </c>
      <c r="D217" s="283" t="s">
        <v>1448</v>
      </c>
      <c r="E217" s="217" t="s">
        <v>1136</v>
      </c>
      <c r="F217" s="217" t="s">
        <v>1449</v>
      </c>
      <c r="G217" s="217" t="s">
        <v>15513</v>
      </c>
      <c r="H217" s="218">
        <f ca="1">IF(ISERROR($V217),"",OFFSET('Smelter Look-up'!$G$4,$V217-4,0))</f>
        <v>0</v>
      </c>
      <c r="I217" s="219" t="str">
        <f ca="1">IF(ISERROR($V217),"",OFFSET('Smelter Look-up'!$H$4,$V217-4,0))</f>
        <v>Matamoros</v>
      </c>
      <c r="J217" s="219" t="str">
        <f ca="1">IF(ISERROR($V217),"",OFFSET('Smelter Look-up'!$I$4,$V217-4,0))</f>
        <v>Tamaulipas</v>
      </c>
      <c r="K217" s="273"/>
      <c r="L217" s="273"/>
      <c r="M217" s="273"/>
      <c r="N217" s="273"/>
      <c r="O217" s="273"/>
      <c r="P217" s="220"/>
      <c r="Q217" s="274"/>
      <c r="R217" s="217" t="str">
        <f ca="1">IF(ISERROR($V217),"",OFFSET('Smelter Look-up'!$C$4,$V217-4,0)&amp;"")</f>
        <v>KEMET Blue Metals</v>
      </c>
      <c r="S217" s="225" t="str">
        <f t="shared" ca="1" si="30"/>
        <v>MX</v>
      </c>
      <c r="T217" s="225" t="str">
        <f ca="1">IF(B217="","",IF(ISERROR(MATCH($J217,SorP!$B$1:$B$6230,0)),"",INDIRECT("'SorP'!$A$"&amp;MATCH($J217,SorP!$B$1:$B$6230,0))))</f>
        <v>MX-TAM</v>
      </c>
      <c r="U217" s="241"/>
      <c r="V217" s="275">
        <f>IF(C217="",NA(),MATCH($B217&amp;$C217,'Smelter Look-up'!$J:$J,0))</f>
        <v>320</v>
      </c>
      <c r="W217" s="276"/>
      <c r="X217" s="276">
        <f t="shared" si="31"/>
        <v>0</v>
      </c>
      <c r="Y217" s="276"/>
      <c r="Z217" s="276"/>
      <c r="AB217" s="278" t="str">
        <f t="shared" si="32"/>
        <v>TantalumKEMET Blue Metals</v>
      </c>
    </row>
    <row r="218" spans="1:28" s="277" customFormat="1" ht="54">
      <c r="A218" s="216"/>
      <c r="B218" s="217" t="s">
        <v>1155</v>
      </c>
      <c r="C218" s="221" t="s">
        <v>1898</v>
      </c>
      <c r="D218" s="283" t="s">
        <v>15631</v>
      </c>
      <c r="E218" s="217" t="s">
        <v>2576</v>
      </c>
      <c r="F218" s="217" t="s">
        <v>15632</v>
      </c>
      <c r="G218" s="217" t="s">
        <v>13577</v>
      </c>
      <c r="H218" s="218">
        <f ca="1">IF(ISERROR($V218),"",OFFSET('Smelter Look-up'!$G$4,$V218-4,0))</f>
        <v>0</v>
      </c>
      <c r="I218" s="219">
        <f ca="1">IF(ISERROR($V218),"",OFFSET('Smelter Look-up'!$H$4,$V218-4,0))</f>
        <v>0</v>
      </c>
      <c r="J218" s="219">
        <f ca="1">IF(ISERROR($V218),"",OFFSET('Smelter Look-up'!$I$4,$V218-4,0))</f>
        <v>0</v>
      </c>
      <c r="K218" s="273"/>
      <c r="L218" s="273"/>
      <c r="M218" s="273"/>
      <c r="N218" s="273"/>
      <c r="O218" s="273"/>
      <c r="P218" s="220"/>
      <c r="Q218" s="274"/>
      <c r="R218" s="217" t="str">
        <f ca="1">IF(ISERROR($V218),"",OFFSET('Smelter Look-up'!$C$4,$V218-4,0)&amp;"")</f>
        <v/>
      </c>
      <c r="S218" s="225" t="str">
        <f t="shared" ca="1" si="30"/>
        <v>US</v>
      </c>
      <c r="T218" s="225" t="str">
        <f ca="1">IF(B218="","",IF(ISERROR(MATCH($J218,SorP!$B$1:$B$6230,0)),"",INDIRECT("'SorP'!$A$"&amp;MATCH($J218,SorP!$B$1:$B$6230,0))))</f>
        <v/>
      </c>
      <c r="U218" s="241"/>
      <c r="V218" s="275">
        <f>IF(C218="",NA(),MATCH($B218&amp;$C218,'Smelter Look-up'!$J:$J,0))</f>
        <v>353</v>
      </c>
      <c r="W218" s="276"/>
      <c r="X218" s="276">
        <f t="shared" si="31"/>
        <v>0</v>
      </c>
      <c r="Y218" s="276"/>
      <c r="Z218" s="276"/>
      <c r="AB218" s="278" t="str">
        <f t="shared" si="32"/>
        <v>TantalumSmelter not listed</v>
      </c>
    </row>
    <row r="219" spans="1:28" s="277" customFormat="1" ht="54">
      <c r="A219" s="216"/>
      <c r="B219" s="217" t="s">
        <v>1156</v>
      </c>
      <c r="C219" s="221" t="s">
        <v>153</v>
      </c>
      <c r="D219" s="283" t="s">
        <v>153</v>
      </c>
      <c r="E219" s="217" t="s">
        <v>2576</v>
      </c>
      <c r="F219" s="217" t="s">
        <v>820</v>
      </c>
      <c r="G219" s="217" t="s">
        <v>15513</v>
      </c>
      <c r="H219" s="218">
        <f ca="1">IF(ISERROR($V219),"",OFFSET('Smelter Look-up'!$G$4,$V219-4,0))</f>
        <v>0</v>
      </c>
      <c r="I219" s="219" t="str">
        <f ca="1">IF(ISERROR($V219),"",OFFSET('Smelter Look-up'!$H$4,$V219-4,0))</f>
        <v>Fallon</v>
      </c>
      <c r="J219" s="219" t="str">
        <f ca="1">IF(ISERROR($V219),"",OFFSET('Smelter Look-up'!$I$4,$V219-4,0))</f>
        <v>Nevada</v>
      </c>
      <c r="K219" s="273"/>
      <c r="L219" s="273"/>
      <c r="M219" s="273"/>
      <c r="N219" s="273"/>
      <c r="O219" s="273"/>
      <c r="P219" s="220"/>
      <c r="Q219" s="274"/>
      <c r="R219" s="217" t="str">
        <f ca="1">IF(ISERROR($V219),"",OFFSET('Smelter Look-up'!$C$4,$V219-4,0)&amp;"")</f>
        <v>Kennametal Fallon</v>
      </c>
      <c r="S219" s="225" t="str">
        <f t="shared" ca="1" si="30"/>
        <v>US</v>
      </c>
      <c r="T219" s="225" t="str">
        <f ca="1">IF(B219="","",IF(ISERROR(MATCH($J219,SorP!$B$1:$B$6230,0)),"",INDIRECT("'SorP'!$A$"&amp;MATCH($J219,SorP!$B$1:$B$6230,0))))</f>
        <v>US-NV</v>
      </c>
      <c r="U219" s="241"/>
      <c r="V219" s="275">
        <f>IF(C219="",NA(),MATCH($B219&amp;$C219,'Smelter Look-up'!$J:$J,0))</f>
        <v>537</v>
      </c>
      <c r="W219" s="276"/>
      <c r="X219" s="276">
        <f t="shared" si="31"/>
        <v>0</v>
      </c>
      <c r="Y219" s="276"/>
      <c r="Z219" s="276"/>
      <c r="AB219" s="278" t="str">
        <f t="shared" si="32"/>
        <v>TungstenKennametal Fallon</v>
      </c>
    </row>
    <row r="220" spans="1:28" s="277" customFormat="1" ht="67.5">
      <c r="A220" s="216"/>
      <c r="B220" s="217" t="s">
        <v>1156</v>
      </c>
      <c r="C220" s="221" t="s">
        <v>151</v>
      </c>
      <c r="D220" s="283" t="s">
        <v>151</v>
      </c>
      <c r="E220" s="217" t="s">
        <v>2576</v>
      </c>
      <c r="F220" s="217" t="s">
        <v>811</v>
      </c>
      <c r="G220" s="217" t="s">
        <v>15513</v>
      </c>
      <c r="H220" s="218">
        <f ca="1">IF(ISERROR($V220),"",OFFSET('Smelter Look-up'!$G$4,$V220-4,0))</f>
        <v>0</v>
      </c>
      <c r="I220" s="219" t="str">
        <f ca="1">IF(ISERROR($V220),"",OFFSET('Smelter Look-up'!$H$4,$V220-4,0))</f>
        <v>Huntsville</v>
      </c>
      <c r="J220" s="219" t="str">
        <f ca="1">IF(ISERROR($V220),"",OFFSET('Smelter Look-up'!$I$4,$V220-4,0))</f>
        <v>Alabama</v>
      </c>
      <c r="K220" s="273"/>
      <c r="L220" s="273"/>
      <c r="M220" s="273"/>
      <c r="N220" s="273"/>
      <c r="O220" s="273"/>
      <c r="P220" s="220"/>
      <c r="Q220" s="274"/>
      <c r="R220" s="217" t="str">
        <f ca="1">IF(ISERROR($V220),"",OFFSET('Smelter Look-up'!$C$4,$V220-4,0)&amp;"")</f>
        <v>Kennametal Huntsville</v>
      </c>
      <c r="S220" s="225" t="str">
        <f t="shared" ca="1" si="30"/>
        <v>US</v>
      </c>
      <c r="T220" s="225" t="str">
        <f ca="1">IF(B220="","",IF(ISERROR(MATCH($J220,SorP!$B$1:$B$6230,0)),"",INDIRECT("'SorP'!$A$"&amp;MATCH($J220,SorP!$B$1:$B$6230,0))))</f>
        <v>US-AL</v>
      </c>
      <c r="U220" s="241"/>
      <c r="V220" s="275">
        <f>IF(C220="",NA(),MATCH($B220&amp;$C220,'Smelter Look-up'!$J:$J,0))</f>
        <v>538</v>
      </c>
      <c r="W220" s="276"/>
      <c r="X220" s="276">
        <f t="shared" si="31"/>
        <v>0</v>
      </c>
      <c r="Y220" s="276"/>
      <c r="Z220" s="276"/>
      <c r="AB220" s="278" t="str">
        <f t="shared" si="32"/>
        <v>TungstenKennametal Huntsville</v>
      </c>
    </row>
    <row r="221" spans="1:28" s="277" customFormat="1" ht="67.5">
      <c r="A221" s="216"/>
      <c r="B221" s="217" t="s">
        <v>1153</v>
      </c>
      <c r="C221" s="221" t="s">
        <v>710</v>
      </c>
      <c r="D221" s="283" t="s">
        <v>710</v>
      </c>
      <c r="E221" s="217" t="s">
        <v>2576</v>
      </c>
      <c r="F221" s="217" t="s">
        <v>711</v>
      </c>
      <c r="G221" s="217" t="s">
        <v>15513</v>
      </c>
      <c r="H221" s="218">
        <f ca="1">IF(ISERROR($V221),"",OFFSET('Smelter Look-up'!$G$4,$V221-4,0))</f>
        <v>0</v>
      </c>
      <c r="I221" s="219" t="str">
        <f ca="1">IF(ISERROR($V221),"",OFFSET('Smelter Look-up'!$H$4,$V221-4,0))</f>
        <v>Magna</v>
      </c>
      <c r="J221" s="219" t="str">
        <f ca="1">IF(ISERROR($V221),"",OFFSET('Smelter Look-up'!$I$4,$V221-4,0))</f>
        <v>Utah</v>
      </c>
      <c r="K221" s="273"/>
      <c r="L221" s="273"/>
      <c r="M221" s="273"/>
      <c r="N221" s="273"/>
      <c r="O221" s="273"/>
      <c r="P221" s="220"/>
      <c r="Q221" s="274"/>
      <c r="R221" s="217" t="str">
        <f ca="1">IF(ISERROR($V221),"",OFFSET('Smelter Look-up'!$C$4,$V221-4,0)&amp;"")</f>
        <v>Kennecott Utah Copper LLC</v>
      </c>
      <c r="S221" s="225" t="str">
        <f t="shared" ca="1" si="30"/>
        <v>US</v>
      </c>
      <c r="T221" s="225" t="str">
        <f ca="1">IF(B221="","",IF(ISERROR(MATCH($J221,SorP!$B$1:$B$6230,0)),"",INDIRECT("'SorP'!$A$"&amp;MATCH($J221,SorP!$B$1:$B$6230,0))))</f>
        <v>US-UT</v>
      </c>
      <c r="U221" s="241"/>
      <c r="V221" s="275">
        <f>IF(C221="",NA(),MATCH($B221&amp;$C221,'Smelter Look-up'!$J:$J,0))</f>
        <v>124</v>
      </c>
      <c r="W221" s="276"/>
      <c r="X221" s="276">
        <f t="shared" si="31"/>
        <v>0</v>
      </c>
      <c r="Y221" s="276"/>
      <c r="Z221" s="276"/>
      <c r="AB221" s="278" t="str">
        <f t="shared" si="32"/>
        <v>GoldKennecott Utah Copper LLC</v>
      </c>
    </row>
    <row r="222" spans="1:28" s="277" customFormat="1" ht="40.5">
      <c r="A222" s="216"/>
      <c r="B222" s="217" t="s">
        <v>1156</v>
      </c>
      <c r="C222" s="221" t="s">
        <v>14173</v>
      </c>
      <c r="D222" s="283" t="s">
        <v>15633</v>
      </c>
      <c r="E222" s="217" t="s">
        <v>1134</v>
      </c>
      <c r="F222" s="217" t="s">
        <v>14174</v>
      </c>
      <c r="G222" s="217" t="s">
        <v>14250</v>
      </c>
      <c r="H222" s="218">
        <f ca="1">IF(ISERROR($V222),"",OFFSET('Smelter Look-up'!$G$4,$V222-4,0))</f>
        <v>0</v>
      </c>
      <c r="I222" s="219" t="str">
        <f ca="1">IF(ISERROR($V222),"",OFFSET('Smelter Look-up'!$H$4,$V222-4,0))</f>
        <v>Siheung-si</v>
      </c>
      <c r="J222" s="219" t="str">
        <f ca="1">IF(ISERROR($V222),"",OFFSET('Smelter Look-up'!$I$4,$V222-4,0))</f>
        <v>Gyeonggi-do</v>
      </c>
      <c r="K222" s="273"/>
      <c r="L222" s="273"/>
      <c r="M222" s="273"/>
      <c r="N222" s="273"/>
      <c r="O222" s="273"/>
      <c r="P222" s="220"/>
      <c r="Q222" s="274"/>
      <c r="R222" s="217" t="str">
        <f ca="1">IF(ISERROR($V222),"",OFFSET('Smelter Look-up'!$C$4,$V222-4,0)&amp;"")</f>
        <v>KGETS Co., Ltd.</v>
      </c>
      <c r="S222" s="225" t="str">
        <f t="shared" ca="1" si="30"/>
        <v>KR</v>
      </c>
      <c r="T222" s="225" t="str">
        <f ca="1">IF(B222="","",IF(ISERROR(MATCH($J222,SorP!$B$1:$B$6230,0)),"",INDIRECT("'SorP'!$A$"&amp;MATCH($J222,SorP!$B$1:$B$6230,0))))</f>
        <v>KR-41</v>
      </c>
      <c r="U222" s="241"/>
      <c r="V222" s="275">
        <f>IF(C222="",NA(),MATCH($B222&amp;$C222,'Smelter Look-up'!$J:$J,0))</f>
        <v>539</v>
      </c>
      <c r="W222" s="276"/>
      <c r="X222" s="276">
        <f t="shared" si="31"/>
        <v>0</v>
      </c>
      <c r="Y222" s="276"/>
      <c r="Z222" s="276"/>
      <c r="AB222" s="278" t="str">
        <f t="shared" si="32"/>
        <v>TungstenKGETS Co., Ltd.</v>
      </c>
    </row>
    <row r="223" spans="1:28" s="277" customFormat="1" ht="67.5">
      <c r="A223" s="216"/>
      <c r="B223" s="217" t="s">
        <v>1153</v>
      </c>
      <c r="C223" s="221" t="s">
        <v>13033</v>
      </c>
      <c r="D223" s="283" t="s">
        <v>13033</v>
      </c>
      <c r="E223" s="217" t="s">
        <v>905</v>
      </c>
      <c r="F223" s="217" t="s">
        <v>1412</v>
      </c>
      <c r="G223" s="217" t="s">
        <v>15513</v>
      </c>
      <c r="H223" s="218">
        <f ca="1">IF(ISERROR($V223),"",OFFSET('Smelter Look-up'!$G$4,$V223-4,0))</f>
        <v>0</v>
      </c>
      <c r="I223" s="219" t="str">
        <f ca="1">IF(ISERROR($V223),"",OFFSET('Smelter Look-up'!$H$4,$V223-4,0))</f>
        <v>Lubin</v>
      </c>
      <c r="J223" s="219" t="str">
        <f ca="1">IF(ISERROR($V223),"",OFFSET('Smelter Look-up'!$I$4,$V223-4,0))</f>
        <v>Dolnośląskie</v>
      </c>
      <c r="K223" s="273"/>
      <c r="L223" s="273"/>
      <c r="M223" s="273"/>
      <c r="N223" s="273"/>
      <c r="O223" s="273"/>
      <c r="P223" s="220"/>
      <c r="Q223" s="274"/>
      <c r="R223" s="217" t="str">
        <f ca="1">IF(ISERROR($V223),"",OFFSET('Smelter Look-up'!$C$4,$V223-4,0)&amp;"")</f>
        <v>KGHM Polska Miedz Spolka Akcyjna</v>
      </c>
      <c r="S223" s="225" t="str">
        <f t="shared" ca="1" si="30"/>
        <v>PL</v>
      </c>
      <c r="T223" s="225" t="str">
        <f ca="1">IF(B223="","",IF(ISERROR(MATCH($J223,SorP!$B$1:$B$6230,0)),"",INDIRECT("'SorP'!$A$"&amp;MATCH($J223,SorP!$B$1:$B$6230,0))))</f>
        <v>PL-02</v>
      </c>
      <c r="U223" s="241"/>
      <c r="V223" s="275">
        <f>IF(C223="",NA(),MATCH($B223&amp;$C223,'Smelter Look-up'!$J:$J,0))</f>
        <v>126</v>
      </c>
      <c r="W223" s="276"/>
      <c r="X223" s="276">
        <f t="shared" si="31"/>
        <v>0</v>
      </c>
      <c r="Y223" s="276"/>
      <c r="Z223" s="276"/>
      <c r="AB223" s="278" t="str">
        <f t="shared" si="32"/>
        <v>GoldKGHM Polska Miedz Spolka Akcyjna</v>
      </c>
    </row>
    <row r="224" spans="1:28" s="277" customFormat="1" ht="81">
      <c r="A224" s="216"/>
      <c r="B224" s="217" t="s">
        <v>1155</v>
      </c>
      <c r="C224" s="221" t="s">
        <v>1898</v>
      </c>
      <c r="D224" s="283" t="s">
        <v>15634</v>
      </c>
      <c r="E224" s="217" t="s">
        <v>1123</v>
      </c>
      <c r="F224" s="217" t="s">
        <v>15635</v>
      </c>
      <c r="G224" s="217" t="s">
        <v>15513</v>
      </c>
      <c r="H224" s="218">
        <f ca="1">IF(ISERROR($V224),"",OFFSET('Smelter Look-up'!$G$4,$V224-4,0))</f>
        <v>0</v>
      </c>
      <c r="I224" s="219">
        <f ca="1">IF(ISERROR($V224),"",OFFSET('Smelter Look-up'!$H$4,$V224-4,0))</f>
        <v>0</v>
      </c>
      <c r="J224" s="219">
        <f ca="1">IF(ISERROR($V224),"",OFFSET('Smelter Look-up'!$I$4,$V224-4,0))</f>
        <v>0</v>
      </c>
      <c r="K224" s="273"/>
      <c r="L224" s="273"/>
      <c r="M224" s="273"/>
      <c r="N224" s="273"/>
      <c r="O224" s="273"/>
      <c r="P224" s="220"/>
      <c r="Q224" s="274" t="s">
        <v>15525</v>
      </c>
      <c r="R224" s="217" t="str">
        <f ca="1">IF(ISERROR($V224),"",OFFSET('Smelter Look-up'!$C$4,$V224-4,0)&amp;"")</f>
        <v/>
      </c>
      <c r="S224" s="225" t="str">
        <f t="shared" ca="1" si="30"/>
        <v>CN</v>
      </c>
      <c r="T224" s="225" t="str">
        <f ca="1">IF(B224="","",IF(ISERROR(MATCH($J224,SorP!$B$1:$B$6230,0)),"",INDIRECT("'SorP'!$A$"&amp;MATCH($J224,SorP!$B$1:$B$6230,0))))</f>
        <v/>
      </c>
      <c r="U224" s="241"/>
      <c r="V224" s="275">
        <f>IF(C224="",NA(),MATCH($B224&amp;$C224,'Smelter Look-up'!$J:$J,0))</f>
        <v>353</v>
      </c>
      <c r="W224" s="276"/>
      <c r="X224" s="276">
        <f t="shared" si="31"/>
        <v>0</v>
      </c>
      <c r="Y224" s="276"/>
      <c r="Z224" s="276"/>
      <c r="AB224" s="278" t="str">
        <f t="shared" si="32"/>
        <v>TantalumSmelter not listed</v>
      </c>
    </row>
    <row r="225" spans="1:28" s="277" customFormat="1" ht="67.5">
      <c r="A225" s="216"/>
      <c r="B225" s="217" t="s">
        <v>1153</v>
      </c>
      <c r="C225" s="221" t="s">
        <v>2252</v>
      </c>
      <c r="D225" s="283" t="s">
        <v>2252</v>
      </c>
      <c r="E225" s="217" t="s">
        <v>1131</v>
      </c>
      <c r="F225" s="217" t="s">
        <v>712</v>
      </c>
      <c r="G225" s="217" t="s">
        <v>15513</v>
      </c>
      <c r="H225" s="218">
        <f ca="1">IF(ISERROR($V225),"",OFFSET('Smelter Look-up'!$G$4,$V225-4,0))</f>
        <v>0</v>
      </c>
      <c r="I225" s="219" t="str">
        <f ca="1">IF(ISERROR($V225),"",OFFSET('Smelter Look-up'!$H$4,$V225-4,0))</f>
        <v>Sayama</v>
      </c>
      <c r="J225" s="219" t="str">
        <f ca="1">IF(ISERROR($V225),"",OFFSET('Smelter Look-up'!$I$4,$V225-4,0))</f>
        <v>Saitama</v>
      </c>
      <c r="K225" s="273"/>
      <c r="L225" s="273"/>
      <c r="M225" s="273"/>
      <c r="N225" s="273"/>
      <c r="O225" s="273"/>
      <c r="P225" s="220"/>
      <c r="Q225" s="274"/>
      <c r="R225" s="217" t="str">
        <f ca="1">IF(ISERROR($V225),"",OFFSET('Smelter Look-up'!$C$4,$V225-4,0)&amp;"")</f>
        <v>Kojima Chemicals Co., Ltd.</v>
      </c>
      <c r="S225" s="225" t="str">
        <f t="shared" ca="1" si="30"/>
        <v>JP</v>
      </c>
      <c r="T225" s="225" t="str">
        <f ca="1">IF(B225="","",IF(ISERROR(MATCH($J225,SorP!$B$1:$B$6230,0)),"",INDIRECT("'SorP'!$A$"&amp;MATCH($J225,SorP!$B$1:$B$6230,0))))</f>
        <v>JP-11</v>
      </c>
      <c r="U225" s="241"/>
      <c r="V225" s="275">
        <f>IF(C225="",NA(),MATCH($B225&amp;$C225,'Smelter Look-up'!$J:$J,0))</f>
        <v>128</v>
      </c>
      <c r="W225" s="276"/>
      <c r="X225" s="276">
        <f t="shared" si="31"/>
        <v>0</v>
      </c>
      <c r="Y225" s="276"/>
      <c r="Z225" s="276"/>
      <c r="AB225" s="278" t="str">
        <f t="shared" si="32"/>
        <v>GoldKojima Chemicals Co., Ltd.</v>
      </c>
    </row>
    <row r="226" spans="1:28" s="277" customFormat="1" ht="40.5">
      <c r="A226" s="216"/>
      <c r="B226" s="217" t="s">
        <v>1153</v>
      </c>
      <c r="C226" s="221" t="s">
        <v>2428</v>
      </c>
      <c r="D226" s="283" t="s">
        <v>2428</v>
      </c>
      <c r="E226" s="217" t="s">
        <v>1134</v>
      </c>
      <c r="F226" s="217" t="s">
        <v>1749</v>
      </c>
      <c r="G226" s="217" t="s">
        <v>15513</v>
      </c>
      <c r="H226" s="218">
        <f ca="1">IF(ISERROR($V226),"",OFFSET('Smelter Look-up'!$G$4,$V226-4,0))</f>
        <v>0</v>
      </c>
      <c r="I226" s="219" t="str">
        <f ca="1">IF(ISERROR($V226),"",OFFSET('Smelter Look-up'!$H$4,$V226-4,0))</f>
        <v>Gangnam</v>
      </c>
      <c r="J226" s="219" t="str">
        <f ca="1">IF(ISERROR($V226),"",OFFSET('Smelter Look-up'!$I$4,$V226-4,0))</f>
        <v>Seoul-teukbyeolsi</v>
      </c>
      <c r="K226" s="273"/>
      <c r="L226" s="273"/>
      <c r="M226" s="273"/>
      <c r="N226" s="273"/>
      <c r="O226" s="273"/>
      <c r="P226" s="220"/>
      <c r="Q226" s="274"/>
      <c r="R226" s="217" t="str">
        <f ca="1">IF(ISERROR($V226),"",OFFSET('Smelter Look-up'!$C$4,$V226-4,0)&amp;"")</f>
        <v>Korea Zinc Co., Ltd.</v>
      </c>
      <c r="S226" s="225" t="str">
        <f t="shared" ca="1" si="30"/>
        <v>KR</v>
      </c>
      <c r="T226" s="225" t="str">
        <f ca="1">IF(B226="","",IF(ISERROR(MATCH($J226,SorP!$B$1:$B$6230,0)),"",INDIRECT("'SorP'!$A$"&amp;MATCH($J226,SorP!$B$1:$B$6230,0))))</f>
        <v>KR-11</v>
      </c>
      <c r="U226" s="241"/>
      <c r="V226" s="275">
        <f>IF(C226="",NA(),MATCH($B226&amp;$C226,'Smelter Look-up'!$J:$J,0))</f>
        <v>131</v>
      </c>
      <c r="W226" s="276"/>
      <c r="X226" s="276">
        <f t="shared" si="31"/>
        <v>0</v>
      </c>
      <c r="Y226" s="276"/>
      <c r="Z226" s="276"/>
      <c r="AB226" s="278" t="str">
        <f t="shared" si="32"/>
        <v>GoldKorea Zinc Co., Ltd.</v>
      </c>
    </row>
    <row r="227" spans="1:28" s="277" customFormat="1" ht="40.5">
      <c r="A227" s="216"/>
      <c r="B227" s="217" t="s">
        <v>1153</v>
      </c>
      <c r="C227" s="221" t="s">
        <v>1898</v>
      </c>
      <c r="D227" s="283" t="s">
        <v>15636</v>
      </c>
      <c r="E227" s="217" t="s">
        <v>1131</v>
      </c>
      <c r="F227" s="217" t="s">
        <v>14250</v>
      </c>
      <c r="G227" s="217" t="s">
        <v>14250</v>
      </c>
      <c r="H227" s="218">
        <f ca="1">IF(ISERROR($V227),"",OFFSET('Smelter Look-up'!$G$4,$V227-4,0))</f>
        <v>0</v>
      </c>
      <c r="I227" s="219">
        <f ca="1">IF(ISERROR($V227),"",OFFSET('Smelter Look-up'!$H$4,$V227-4,0))</f>
        <v>0</v>
      </c>
      <c r="J227" s="219">
        <f ca="1">IF(ISERROR($V227),"",OFFSET('Smelter Look-up'!$I$4,$V227-4,0))</f>
        <v>0</v>
      </c>
      <c r="K227" s="273"/>
      <c r="L227" s="273"/>
      <c r="M227" s="273"/>
      <c r="N227" s="273"/>
      <c r="O227" s="273"/>
      <c r="P227" s="220"/>
      <c r="Q227" s="274"/>
      <c r="R227" s="217" t="str">
        <f ca="1">IF(ISERROR($V227),"",OFFSET('Smelter Look-up'!$C$4,$V227-4,0)&amp;"")</f>
        <v/>
      </c>
      <c r="S227" s="225" t="str">
        <f t="shared" ca="1" si="30"/>
        <v>JP</v>
      </c>
      <c r="T227" s="225" t="str">
        <f ca="1">IF(B227="","",IF(ISERROR(MATCH($J227,SorP!$B$1:$B$6230,0)),"",INDIRECT("'SorP'!$A$"&amp;MATCH($J227,SorP!$B$1:$B$6230,0))))</f>
        <v/>
      </c>
      <c r="U227" s="241"/>
      <c r="V227" s="275">
        <f>IF(C227="",NA(),MATCH($B227&amp;$C227,'Smelter Look-up'!$J:$J,0))</f>
        <v>293</v>
      </c>
      <c r="W227" s="276"/>
      <c r="X227" s="276">
        <f t="shared" si="31"/>
        <v>0</v>
      </c>
      <c r="Y227" s="276"/>
      <c r="Z227" s="276"/>
      <c r="AB227" s="278" t="str">
        <f t="shared" si="32"/>
        <v>GoldSmelter not listed</v>
      </c>
    </row>
    <row r="228" spans="1:28" s="277" customFormat="1" ht="54">
      <c r="A228" s="216"/>
      <c r="B228" s="217" t="s">
        <v>1153</v>
      </c>
      <c r="C228" s="221" t="s">
        <v>14219</v>
      </c>
      <c r="D228" s="283" t="s">
        <v>14219</v>
      </c>
      <c r="E228" s="217" t="s">
        <v>1129</v>
      </c>
      <c r="F228" s="217" t="s">
        <v>14238</v>
      </c>
      <c r="G228" s="217" t="s">
        <v>13577</v>
      </c>
      <c r="H228" s="218">
        <f ca="1">IF(ISERROR($V228),"",OFFSET('Smelter Look-up'!$G$4,$V228-4,0))</f>
        <v>0</v>
      </c>
      <c r="I228" s="219" t="str">
        <f ca="1">IF(ISERROR($V228),"",OFFSET('Smelter Look-up'!$H$4,$V228-4,0))</f>
        <v>Haridwar</v>
      </c>
      <c r="J228" s="219" t="str">
        <f ca="1">IF(ISERROR($V228),"",OFFSET('Smelter Look-up'!$I$4,$V228-4,0))</f>
        <v>Uttarakhand</v>
      </c>
      <c r="K228" s="273"/>
      <c r="L228" s="273"/>
      <c r="M228" s="273"/>
      <c r="N228" s="273"/>
      <c r="O228" s="273"/>
      <c r="P228" s="220"/>
      <c r="Q228" s="274"/>
      <c r="R228" s="217" t="str">
        <f ca="1">IF(ISERROR($V228),"",OFFSET('Smelter Look-up'!$C$4,$V228-4,0)&amp;"")</f>
        <v>Kundan Care Products Ltd.</v>
      </c>
      <c r="S228" s="225" t="str">
        <f t="shared" ca="1" si="30"/>
        <v>IN</v>
      </c>
      <c r="T228" s="225" t="str">
        <f ca="1">IF(B228="","",IF(ISERROR(MATCH($J228,SorP!$B$1:$B$6230,0)),"",INDIRECT("'SorP'!$A$"&amp;MATCH($J228,SorP!$B$1:$B$6230,0))))</f>
        <v>IN-UT</v>
      </c>
      <c r="U228" s="241"/>
      <c r="V228" s="275">
        <f>IF(C228="",NA(),MATCH($B228&amp;$C228,'Smelter Look-up'!$J:$J,0))</f>
        <v>133</v>
      </c>
      <c r="W228" s="276"/>
      <c r="X228" s="276">
        <f t="shared" si="31"/>
        <v>0</v>
      </c>
      <c r="Y228" s="276"/>
      <c r="Z228" s="276"/>
      <c r="AB228" s="278" t="str">
        <f t="shared" si="32"/>
        <v>GoldKundan Care Products Ltd.</v>
      </c>
    </row>
    <row r="229" spans="1:28" s="277" customFormat="1" ht="40.5">
      <c r="A229" s="216"/>
      <c r="B229" s="217" t="s">
        <v>1153</v>
      </c>
      <c r="C229" s="221" t="s">
        <v>869</v>
      </c>
      <c r="D229" s="283" t="s">
        <v>869</v>
      </c>
      <c r="E229" s="217" t="s">
        <v>1133</v>
      </c>
      <c r="F229" s="217" t="s">
        <v>713</v>
      </c>
      <c r="G229" s="217" t="s">
        <v>15513</v>
      </c>
      <c r="H229" s="218">
        <f ca="1">IF(ISERROR($V229),"",OFFSET('Smelter Look-up'!$G$4,$V229-4,0))</f>
        <v>0</v>
      </c>
      <c r="I229" s="219" t="str">
        <f ca="1">IF(ISERROR($V229),"",OFFSET('Smelter Look-up'!$H$4,$V229-4,0))</f>
        <v>Bishkek</v>
      </c>
      <c r="J229" s="219" t="str">
        <f ca="1">IF(ISERROR($V229),"",OFFSET('Smelter Look-up'!$I$4,$V229-4,0))</f>
        <v>Chüy</v>
      </c>
      <c r="K229" s="273"/>
      <c r="L229" s="273"/>
      <c r="M229" s="273"/>
      <c r="N229" s="273"/>
      <c r="O229" s="273"/>
      <c r="P229" s="220"/>
      <c r="Q229" s="274"/>
      <c r="R229" s="217" t="str">
        <f ca="1">IF(ISERROR($V229),"",OFFSET('Smelter Look-up'!$C$4,$V229-4,0)&amp;"")</f>
        <v>Kyrgyzaltyn JSC</v>
      </c>
      <c r="S229" s="225" t="str">
        <f t="shared" ca="1" si="30"/>
        <v>KG</v>
      </c>
      <c r="T229" s="225" t="str">
        <f ca="1">IF(B229="","",IF(ISERROR(MATCH($J229,SorP!$B$1:$B$6230,0)),"",INDIRECT("'SorP'!$A$"&amp;MATCH($J229,SorP!$B$1:$B$6230,0))))</f>
        <v>KG-C</v>
      </c>
      <c r="U229" s="241"/>
      <c r="V229" s="275">
        <f>IF(C229="",NA(),MATCH($B229&amp;$C229,'Smelter Look-up'!$J:$J,0))</f>
        <v>134</v>
      </c>
      <c r="W229" s="276"/>
      <c r="X229" s="276">
        <f t="shared" si="31"/>
        <v>0</v>
      </c>
      <c r="Y229" s="276"/>
      <c r="Z229" s="276"/>
      <c r="AB229" s="278" t="str">
        <f t="shared" si="32"/>
        <v>GoldKyrgyzaltyn JSC</v>
      </c>
    </row>
    <row r="230" spans="1:28" s="277" customFormat="1" ht="81">
      <c r="A230" s="216"/>
      <c r="B230" s="217" t="s">
        <v>1153</v>
      </c>
      <c r="C230" s="221" t="s">
        <v>2653</v>
      </c>
      <c r="D230" s="283" t="s">
        <v>2653</v>
      </c>
      <c r="E230" s="217" t="s">
        <v>906</v>
      </c>
      <c r="F230" s="217" t="s">
        <v>2654</v>
      </c>
      <c r="G230" s="217" t="s">
        <v>15513</v>
      </c>
      <c r="H230" s="218">
        <f ca="1">IF(ISERROR($V230),"",OFFSET('Smelter Look-up'!$G$4,$V230-4,0))</f>
        <v>0</v>
      </c>
      <c r="I230" s="219" t="str">
        <f ca="1">IF(ISERROR($V230),"",OFFSET('Smelter Look-up'!$H$4,$V230-4,0))</f>
        <v>Kyshtym</v>
      </c>
      <c r="J230" s="219" t="str">
        <f ca="1">IF(ISERROR($V230),"",OFFSET('Smelter Look-up'!$I$4,$V230-4,0))</f>
        <v>Chelyabinskaya oblast'</v>
      </c>
      <c r="K230" s="273"/>
      <c r="L230" s="273"/>
      <c r="M230" s="273"/>
      <c r="N230" s="273"/>
      <c r="O230" s="273"/>
      <c r="P230" s="220"/>
      <c r="Q230" s="274"/>
      <c r="R230" s="217" t="str">
        <f ca="1">IF(ISERROR($V230),"",OFFSET('Smelter Look-up'!$C$4,$V230-4,0)&amp;"")</f>
        <v>Kyshtym Copper-Electrolytic Plant ZAO</v>
      </c>
      <c r="S230" s="225" t="str">
        <f t="shared" ref="S230:S260" ca="1" si="33">IF(B230="","",IF(ISERROR(MATCH($E230,CL,0)),"Unknown",INDIRECT("'C'!$A$"&amp;MATCH($E230,CL,0)+1)))</f>
        <v>RU</v>
      </c>
      <c r="T230" s="225" t="str">
        <f ca="1">IF(B230="","",IF(ISERROR(MATCH($J230,SorP!$B$1:$B$6230,0)),"",INDIRECT("'SorP'!$A$"&amp;MATCH($J230,SorP!$B$1:$B$6230,0))))</f>
        <v>RU-CHE</v>
      </c>
      <c r="U230" s="241"/>
      <c r="V230" s="275">
        <f>IF(C230="",NA(),MATCH($B230&amp;$C230,'Smelter Look-up'!$J:$J,0))</f>
        <v>135</v>
      </c>
      <c r="W230" s="276"/>
      <c r="X230" s="276">
        <f t="shared" ref="X230:X260" si="34">IF(AND(C230="Smelter not listed",OR(LEN(D230)=0,LEN(E230)=0)),1,0)</f>
        <v>0</v>
      </c>
      <c r="Y230" s="276"/>
      <c r="Z230" s="276"/>
      <c r="AB230" s="278" t="str">
        <f t="shared" ref="AB230:AB260" si="35">B230&amp;C230</f>
        <v>GoldKyshtym Copper-Electrolytic Plant ZAO</v>
      </c>
    </row>
    <row r="231" spans="1:28" s="277" customFormat="1" ht="67.5">
      <c r="A231" s="216"/>
      <c r="B231" s="217" t="s">
        <v>1153</v>
      </c>
      <c r="C231" s="221" t="s">
        <v>2429</v>
      </c>
      <c r="D231" s="283" t="s">
        <v>2429</v>
      </c>
      <c r="E231" s="217" t="s">
        <v>907</v>
      </c>
      <c r="F231" s="217" t="s">
        <v>714</v>
      </c>
      <c r="G231" s="217" t="s">
        <v>15513</v>
      </c>
      <c r="H231" s="218">
        <f ca="1">IF(ISERROR($V231),"",OFFSET('Smelter Look-up'!$G$4,$V231-4,0))</f>
        <v>0</v>
      </c>
      <c r="I231" s="219" t="str">
        <f ca="1">IF(ISERROR($V231),"",OFFSET('Smelter Look-up'!$H$4,$V231-4,0))</f>
        <v>Riyadh</v>
      </c>
      <c r="J231" s="219" t="str">
        <f ca="1">IF(ISERROR($V231),"",OFFSET('Smelter Look-up'!$I$4,$V231-4,0))</f>
        <v>Ar Riyāḑ</v>
      </c>
      <c r="K231" s="273"/>
      <c r="L231" s="273"/>
      <c r="M231" s="273"/>
      <c r="N231" s="273"/>
      <c r="O231" s="273"/>
      <c r="P231" s="220"/>
      <c r="Q231" s="274"/>
      <c r="R231" s="217" t="str">
        <f ca="1">IF(ISERROR($V231),"",OFFSET('Smelter Look-up'!$C$4,$V231-4,0)&amp;"")</f>
        <v>L'azurde Company For Jewelry</v>
      </c>
      <c r="S231" s="225" t="str">
        <f t="shared" ca="1" si="33"/>
        <v>SA</v>
      </c>
      <c r="T231" s="225" t="str">
        <f ca="1">IF(B231="","",IF(ISERROR(MATCH($J231,SorP!$B$1:$B$6230,0)),"",INDIRECT("'SorP'!$A$"&amp;MATCH($J231,SorP!$B$1:$B$6230,0))))</f>
        <v>SA-01</v>
      </c>
      <c r="U231" s="241"/>
      <c r="V231" s="275">
        <f>IF(C231="",NA(),MATCH($B231&amp;$C231,'Smelter Look-up'!$J:$J,0))</f>
        <v>138</v>
      </c>
      <c r="W231" s="276"/>
      <c r="X231" s="276">
        <f t="shared" si="34"/>
        <v>0</v>
      </c>
      <c r="Y231" s="276"/>
      <c r="Z231" s="276"/>
      <c r="AB231" s="278" t="str">
        <f t="shared" si="35"/>
        <v>GoldL'azurde Company For Jewelry</v>
      </c>
    </row>
    <row r="232" spans="1:28" s="277" customFormat="1" ht="40.5">
      <c r="A232" s="216"/>
      <c r="B232" s="217" t="s">
        <v>1153</v>
      </c>
      <c r="C232" s="221" t="s">
        <v>2583</v>
      </c>
      <c r="D232" s="283" t="s">
        <v>2583</v>
      </c>
      <c r="E232" s="217" t="s">
        <v>1114</v>
      </c>
      <c r="F232" s="217" t="s">
        <v>2584</v>
      </c>
      <c r="G232" s="217" t="s">
        <v>15513</v>
      </c>
      <c r="H232" s="218">
        <f ca="1">IF(ISERROR($V232),"",OFFSET('Smelter Look-up'!$G$4,$V232-4,0))</f>
        <v>0</v>
      </c>
      <c r="I232" s="219" t="str">
        <f ca="1">IF(ISERROR($V232),"",OFFSET('Smelter Look-up'!$H$4,$V232-4,0))</f>
        <v>Andorra la Vella</v>
      </c>
      <c r="J232" s="219" t="str">
        <f ca="1">IF(ISERROR($V232),"",OFFSET('Smelter Look-up'!$I$4,$V232-4,0))</f>
        <v>Andorra la Vella</v>
      </c>
      <c r="K232" s="273"/>
      <c r="L232" s="273"/>
      <c r="M232" s="273"/>
      <c r="N232" s="273"/>
      <c r="O232" s="273"/>
      <c r="P232" s="220"/>
      <c r="Q232" s="274"/>
      <c r="R232" s="217" t="str">
        <f ca="1">IF(ISERROR($V232),"",OFFSET('Smelter Look-up'!$C$4,$V232-4,0)&amp;"")</f>
        <v>L'Orfebre S.A.</v>
      </c>
      <c r="S232" s="225" t="str">
        <f t="shared" ca="1" si="33"/>
        <v>AD</v>
      </c>
      <c r="T232" s="225" t="str">
        <f ca="1">IF(B232="","",IF(ISERROR(MATCH($J232,SorP!$B$1:$B$6230,0)),"",INDIRECT("'SorP'!$A$"&amp;MATCH($J232,SorP!$B$1:$B$6230,0))))</f>
        <v>AD-07</v>
      </c>
      <c r="U232" s="241"/>
      <c r="V232" s="275">
        <f>IF(C232="",NA(),MATCH($B232&amp;$C232,'Smelter Look-up'!$J:$J,0))</f>
        <v>142</v>
      </c>
      <c r="W232" s="276"/>
      <c r="X232" s="276">
        <f t="shared" si="34"/>
        <v>0</v>
      </c>
      <c r="Y232" s="276"/>
      <c r="Z232" s="276"/>
      <c r="AB232" s="278" t="str">
        <f t="shared" si="35"/>
        <v>GoldL'Orfebre S.A.</v>
      </c>
    </row>
    <row r="233" spans="1:28" s="277" customFormat="1" ht="40.5">
      <c r="A233" s="216"/>
      <c r="B233" s="217" t="s">
        <v>1154</v>
      </c>
      <c r="C233" s="221" t="s">
        <v>1898</v>
      </c>
      <c r="D233" s="283" t="s">
        <v>15637</v>
      </c>
      <c r="E233" s="217" t="s">
        <v>1123</v>
      </c>
      <c r="F233" s="217" t="s">
        <v>14250</v>
      </c>
      <c r="G233" s="217" t="s">
        <v>14250</v>
      </c>
      <c r="H233" s="218">
        <f ca="1">IF(ISERROR($V233),"",OFFSET('Smelter Look-up'!$G$4,$V233-4,0))</f>
        <v>0</v>
      </c>
      <c r="I233" s="219">
        <f ca="1">IF(ISERROR($V233),"",OFFSET('Smelter Look-up'!$H$4,$V233-4,0))</f>
        <v>0</v>
      </c>
      <c r="J233" s="219">
        <f ca="1">IF(ISERROR($V233),"",OFFSET('Smelter Look-up'!$I$4,$V233-4,0))</f>
        <v>0</v>
      </c>
      <c r="K233" s="273"/>
      <c r="L233" s="273"/>
      <c r="M233" s="273"/>
      <c r="N233" s="273"/>
      <c r="O233" s="273"/>
      <c r="P233" s="220"/>
      <c r="Q233" s="274"/>
      <c r="R233" s="217" t="str">
        <f ca="1">IF(ISERROR($V233),"",OFFSET('Smelter Look-up'!$C$4,$V233-4,0)&amp;"")</f>
        <v/>
      </c>
      <c r="S233" s="225" t="str">
        <f t="shared" ca="1" si="33"/>
        <v>CN</v>
      </c>
      <c r="T233" s="225" t="str">
        <f ca="1">IF(B233="","",IF(ISERROR(MATCH($J233,SorP!$B$1:$B$6230,0)),"",INDIRECT("'SorP'!$A$"&amp;MATCH($J233,SorP!$B$1:$B$6230,0))))</f>
        <v/>
      </c>
      <c r="U233" s="241"/>
      <c r="V233" s="275">
        <f>IF(C233="",NA(),MATCH($B233&amp;$C233,'Smelter Look-up'!$J:$J,0))</f>
        <v>484</v>
      </c>
      <c r="W233" s="276"/>
      <c r="X233" s="276">
        <f t="shared" si="34"/>
        <v>0</v>
      </c>
      <c r="Y233" s="276"/>
      <c r="Z233" s="276"/>
      <c r="AB233" s="278" t="str">
        <f t="shared" si="35"/>
        <v>TinSmelter not listed</v>
      </c>
    </row>
    <row r="234" spans="1:28" s="277" customFormat="1" ht="54">
      <c r="A234" s="216"/>
      <c r="B234" s="217" t="s">
        <v>1156</v>
      </c>
      <c r="C234" s="221" t="s">
        <v>14175</v>
      </c>
      <c r="D234" s="283" t="s">
        <v>14175</v>
      </c>
      <c r="E234" s="217" t="s">
        <v>2575</v>
      </c>
      <c r="F234" s="217" t="s">
        <v>14176</v>
      </c>
      <c r="G234" s="217" t="s">
        <v>14250</v>
      </c>
      <c r="H234" s="218">
        <f ca="1">IF(ISERROR($V234),"",OFFSET('Smelter Look-up'!$G$4,$V234-4,0))</f>
        <v>0</v>
      </c>
      <c r="I234" s="219" t="str">
        <f ca="1">IF(ISERROR($V234),"",OFFSET('Smelter Look-up'!$H$4,$V234-4,0))</f>
        <v>Fangliao</v>
      </c>
      <c r="J234" s="219" t="str">
        <f ca="1">IF(ISERROR($V234),"",OFFSET('Smelter Look-up'!$I$4,$V234-4,0))</f>
        <v>Pingtung</v>
      </c>
      <c r="K234" s="273"/>
      <c r="L234" s="273"/>
      <c r="M234" s="273"/>
      <c r="N234" s="273"/>
      <c r="O234" s="273"/>
      <c r="P234" s="220"/>
      <c r="Q234" s="274"/>
      <c r="R234" s="217" t="str">
        <f ca="1">IF(ISERROR($V234),"",OFFSET('Smelter Look-up'!$C$4,$V234-4,0)&amp;"")</f>
        <v>Lianyou Metals Co., Ltd.</v>
      </c>
      <c r="S234" s="225" t="str">
        <f t="shared" ca="1" si="33"/>
        <v>TW</v>
      </c>
      <c r="T234" s="225" t="str">
        <f ca="1">IF(B234="","",IF(ISERROR(MATCH($J234,SorP!$B$1:$B$6230,0)),"",INDIRECT("'SorP'!$A$"&amp;MATCH($J234,SorP!$B$1:$B$6230,0))))</f>
        <v>TW-PIF</v>
      </c>
      <c r="U234" s="241"/>
      <c r="V234" s="275">
        <f>IF(C234="",NA(),MATCH($B234&amp;$C234,'Smelter Look-up'!$J:$J,0))</f>
        <v>540</v>
      </c>
      <c r="W234" s="276"/>
      <c r="X234" s="276">
        <f t="shared" si="34"/>
        <v>0</v>
      </c>
      <c r="Y234" s="276"/>
      <c r="Z234" s="276"/>
      <c r="AB234" s="278" t="str">
        <f t="shared" si="35"/>
        <v>TungstenLianyou Metals Co., Ltd.</v>
      </c>
    </row>
    <row r="235" spans="1:28" s="277" customFormat="1" ht="40.5">
      <c r="A235" s="216"/>
      <c r="B235" s="217" t="s">
        <v>1153</v>
      </c>
      <c r="C235" s="221" t="s">
        <v>2430</v>
      </c>
      <c r="D235" s="283" t="s">
        <v>2430</v>
      </c>
      <c r="E235" s="217" t="s">
        <v>1123</v>
      </c>
      <c r="F235" s="217" t="s">
        <v>1413</v>
      </c>
      <c r="G235" s="217" t="s">
        <v>15513</v>
      </c>
      <c r="H235" s="218">
        <f ca="1">IF(ISERROR($V235),"",OFFSET('Smelter Look-up'!$G$4,$V235-4,0))</f>
        <v>0</v>
      </c>
      <c r="I235" s="219" t="str">
        <f ca="1">IF(ISERROR($V235),"",OFFSET('Smelter Look-up'!$H$4,$V235-4,0))</f>
        <v>Lingbao</v>
      </c>
      <c r="J235" s="219" t="str">
        <f ca="1">IF(ISERROR($V235),"",OFFSET('Smelter Look-up'!$I$4,$V235-4,0))</f>
        <v>Henan Sheng</v>
      </c>
      <c r="K235" s="273"/>
      <c r="L235" s="273"/>
      <c r="M235" s="273"/>
      <c r="N235" s="273"/>
      <c r="O235" s="273"/>
      <c r="P235" s="220"/>
      <c r="Q235" s="274"/>
      <c r="R235" s="217" t="str">
        <f ca="1">IF(ISERROR($V235),"",OFFSET('Smelter Look-up'!$C$4,$V235-4,0)&amp;"")</f>
        <v>Lingbao Gold Co., Ltd.</v>
      </c>
      <c r="S235" s="225" t="str">
        <f t="shared" ca="1" si="33"/>
        <v>CN</v>
      </c>
      <c r="T235" s="225" t="str">
        <f ca="1">IF(B235="","",IF(ISERROR(MATCH($J235,SorP!$B$1:$B$6230,0)),"",INDIRECT("'SorP'!$A$"&amp;MATCH($J235,SorP!$B$1:$B$6230,0))))</f>
        <v>CN-HA</v>
      </c>
      <c r="U235" s="241"/>
      <c r="V235" s="275">
        <f>IF(C235="",NA(),MATCH($B235&amp;$C235,'Smelter Look-up'!$J:$J,0))</f>
        <v>140</v>
      </c>
      <c r="W235" s="276"/>
      <c r="X235" s="276">
        <f t="shared" si="34"/>
        <v>0</v>
      </c>
      <c r="Y235" s="276"/>
      <c r="Z235" s="276"/>
      <c r="AB235" s="278" t="str">
        <f t="shared" si="35"/>
        <v>GoldLingbao Gold Co., Ltd.</v>
      </c>
    </row>
    <row r="236" spans="1:28" s="277" customFormat="1" ht="81">
      <c r="A236" s="216"/>
      <c r="B236" s="217" t="s">
        <v>1153</v>
      </c>
      <c r="C236" s="221" t="s">
        <v>2253</v>
      </c>
      <c r="D236" s="283" t="s">
        <v>2253</v>
      </c>
      <c r="E236" s="217" t="s">
        <v>1123</v>
      </c>
      <c r="F236" s="217" t="s">
        <v>715</v>
      </c>
      <c r="G236" s="217" t="s">
        <v>15513</v>
      </c>
      <c r="H236" s="218">
        <f ca="1">IF(ISERROR($V236),"",OFFSET('Smelter Look-up'!$G$4,$V236-4,0))</f>
        <v>0</v>
      </c>
      <c r="I236" s="219" t="str">
        <f ca="1">IF(ISERROR($V236),"",OFFSET('Smelter Look-up'!$H$4,$V236-4,0))</f>
        <v>Lingbao</v>
      </c>
      <c r="J236" s="219" t="str">
        <f ca="1">IF(ISERROR($V236),"",OFFSET('Smelter Look-up'!$I$4,$V236-4,0))</f>
        <v>Henan Sheng</v>
      </c>
      <c r="K236" s="273"/>
      <c r="L236" s="273"/>
      <c r="M236" s="273"/>
      <c r="N236" s="273"/>
      <c r="O236" s="273"/>
      <c r="P236" s="220"/>
      <c r="Q236" s="274"/>
      <c r="R236" s="217" t="str">
        <f ca="1">IF(ISERROR($V236),"",OFFSET('Smelter Look-up'!$C$4,$V236-4,0)&amp;"")</f>
        <v>Lingbao Jinyuan Tonghui Refinery Co., Ltd.</v>
      </c>
      <c r="S236" s="225" t="str">
        <f t="shared" ca="1" si="33"/>
        <v>CN</v>
      </c>
      <c r="T236" s="225" t="str">
        <f ca="1">IF(B236="","",IF(ISERROR(MATCH($J236,SorP!$B$1:$B$6230,0)),"",INDIRECT("'SorP'!$A$"&amp;MATCH($J236,SorP!$B$1:$B$6230,0))))</f>
        <v>CN-HA</v>
      </c>
      <c r="U236" s="241"/>
      <c r="V236" s="275">
        <f>IF(C236="",NA(),MATCH($B236&amp;$C236,'Smelter Look-up'!$J:$J,0))</f>
        <v>141</v>
      </c>
      <c r="W236" s="276"/>
      <c r="X236" s="276">
        <f t="shared" si="34"/>
        <v>0</v>
      </c>
      <c r="Y236" s="276"/>
      <c r="Z236" s="276"/>
      <c r="AB236" s="278" t="str">
        <f t="shared" si="35"/>
        <v>GoldLingbao Jinyuan Tonghui Refinery Co., Ltd.</v>
      </c>
    </row>
    <row r="237" spans="1:28" s="277" customFormat="1" ht="40.5">
      <c r="A237" s="216"/>
      <c r="B237" s="217" t="s">
        <v>1154</v>
      </c>
      <c r="C237" s="221" t="s">
        <v>1898</v>
      </c>
      <c r="D237" s="283" t="s">
        <v>15638</v>
      </c>
      <c r="E237" s="217" t="s">
        <v>1123</v>
      </c>
      <c r="F237" s="217" t="s">
        <v>14250</v>
      </c>
      <c r="G237" s="217" t="s">
        <v>14250</v>
      </c>
      <c r="H237" s="218" t="s">
        <v>15514</v>
      </c>
      <c r="I237" s="219" t="s">
        <v>1814</v>
      </c>
      <c r="J237" s="219" t="s">
        <v>15639</v>
      </c>
      <c r="K237" s="273"/>
      <c r="L237" s="273"/>
      <c r="M237" s="273"/>
      <c r="N237" s="273"/>
      <c r="O237" s="273"/>
      <c r="P237" s="220"/>
      <c r="Q237" s="274"/>
      <c r="R237" s="217" t="str">
        <f ca="1">IF(ISERROR($V237),"",OFFSET('Smelter Look-up'!$C$4,$V237-4,0)&amp;"")</f>
        <v/>
      </c>
      <c r="S237" s="225" t="str">
        <f t="shared" ca="1" si="33"/>
        <v>CN</v>
      </c>
      <c r="T237" s="225" t="str">
        <f ca="1">IF(B237="","",IF(ISERROR(MATCH($J237,SorP!$B$1:$B$6230,0)),"",INDIRECT("'SorP'!$A$"&amp;MATCH($J237,SorP!$B$1:$B$6230,0))))</f>
        <v/>
      </c>
      <c r="U237" s="241"/>
      <c r="V237" s="275">
        <f>IF(C237="",NA(),MATCH($B237&amp;$C237,'Smelter Look-up'!$J:$J,0))</f>
        <v>484</v>
      </c>
      <c r="W237" s="276"/>
      <c r="X237" s="276">
        <f t="shared" si="34"/>
        <v>0</v>
      </c>
      <c r="Y237" s="276"/>
      <c r="Z237" s="276"/>
      <c r="AB237" s="278" t="str">
        <f t="shared" si="35"/>
        <v>TinSmelter not listed</v>
      </c>
    </row>
    <row r="238" spans="1:28" s="277" customFormat="1" ht="54">
      <c r="A238" s="216"/>
      <c r="B238" s="217" t="s">
        <v>1153</v>
      </c>
      <c r="C238" s="221" t="s">
        <v>58</v>
      </c>
      <c r="D238" s="283" t="s">
        <v>58</v>
      </c>
      <c r="E238" s="217" t="s">
        <v>1134</v>
      </c>
      <c r="F238" s="217" t="s">
        <v>716</v>
      </c>
      <c r="G238" s="217" t="s">
        <v>15513</v>
      </c>
      <c r="H238" s="218">
        <f ca="1">IF(ISERROR($V238),"",OFFSET('Smelter Look-up'!$G$4,$V238-4,0))</f>
        <v>0</v>
      </c>
      <c r="I238" s="219" t="str">
        <f ca="1">IF(ISERROR($V238),"",OFFSET('Smelter Look-up'!$H$4,$V238-4,0))</f>
        <v>Onsan-eup</v>
      </c>
      <c r="J238" s="219" t="str">
        <f ca="1">IF(ISERROR($V238),"",OFFSET('Smelter Look-up'!$I$4,$V238-4,0))</f>
        <v>Ulsan-gwangyeoksi</v>
      </c>
      <c r="K238" s="273"/>
      <c r="L238" s="273"/>
      <c r="M238" s="273"/>
      <c r="N238" s="273"/>
      <c r="O238" s="273"/>
      <c r="P238" s="220"/>
      <c r="Q238" s="274"/>
      <c r="R238" s="217" t="str">
        <f ca="1">IF(ISERROR($V238),"",OFFSET('Smelter Look-up'!$C$4,$V238-4,0)&amp;"")</f>
        <v>LS-NIKKO Copper Inc.</v>
      </c>
      <c r="S238" s="225" t="str">
        <f t="shared" ca="1" si="33"/>
        <v>KR</v>
      </c>
      <c r="T238" s="225" t="str">
        <f ca="1">IF(B238="","",IF(ISERROR(MATCH($J238,SorP!$B$1:$B$6230,0)),"",INDIRECT("'SorP'!$A$"&amp;MATCH($J238,SorP!$B$1:$B$6230,0))))</f>
        <v>KR-31</v>
      </c>
      <c r="U238" s="241"/>
      <c r="V238" s="275">
        <f>IF(C238="",NA(),MATCH($B238&amp;$C238,'Smelter Look-up'!$J:$J,0))</f>
        <v>143</v>
      </c>
      <c r="W238" s="276"/>
      <c r="X238" s="276">
        <f t="shared" si="34"/>
        <v>0</v>
      </c>
      <c r="Y238" s="276"/>
      <c r="Z238" s="276"/>
      <c r="AB238" s="278" t="str">
        <f t="shared" si="35"/>
        <v>GoldLS-NIKKO Copper Inc.</v>
      </c>
    </row>
    <row r="239" spans="1:28" s="277" customFormat="1" ht="54">
      <c r="A239" s="216"/>
      <c r="B239" s="217" t="s">
        <v>1155</v>
      </c>
      <c r="C239" s="221" t="s">
        <v>49</v>
      </c>
      <c r="D239" s="283" t="s">
        <v>49</v>
      </c>
      <c r="E239" s="217" t="s">
        <v>1119</v>
      </c>
      <c r="F239" s="217" t="s">
        <v>771</v>
      </c>
      <c r="G239" s="217" t="s">
        <v>15513</v>
      </c>
      <c r="H239" s="218">
        <f ca="1">IF(ISERROR($V239),"",OFFSET('Smelter Look-up'!$G$4,$V239-4,0))</f>
        <v>0</v>
      </c>
      <c r="I239" s="219" t="str">
        <f ca="1">IF(ISERROR($V239),"",OFFSET('Smelter Look-up'!$H$4,$V239-4,0))</f>
        <v>São João del Rei</v>
      </c>
      <c r="J239" s="219" t="str">
        <f ca="1">IF(ISERROR($V239),"",OFFSET('Smelter Look-up'!$I$4,$V239-4,0))</f>
        <v>Minas Gerais</v>
      </c>
      <c r="K239" s="273"/>
      <c r="L239" s="273"/>
      <c r="M239" s="273"/>
      <c r="N239" s="273"/>
      <c r="O239" s="273"/>
      <c r="P239" s="220"/>
      <c r="Q239" s="274"/>
      <c r="R239" s="217" t="str">
        <f ca="1">IF(ISERROR($V239),"",OFFSET('Smelter Look-up'!$C$4,$V239-4,0)&amp;"")</f>
        <v>LSM Brasil S.A.</v>
      </c>
      <c r="S239" s="225" t="str">
        <f t="shared" ca="1" si="33"/>
        <v>BR</v>
      </c>
      <c r="T239" s="225" t="str">
        <f ca="1">IF(B239="","",IF(ISERROR(MATCH($J239,SorP!$B$1:$B$6230,0)),"",INDIRECT("'SorP'!$A$"&amp;MATCH($J239,SorP!$B$1:$B$6230,0))))</f>
        <v>BR-MG</v>
      </c>
      <c r="U239" s="241"/>
      <c r="V239" s="275">
        <f>IF(C239="",NA(),MATCH($B239&amp;$C239,'Smelter Look-up'!$J:$J,0))</f>
        <v>321</v>
      </c>
      <c r="W239" s="276"/>
      <c r="X239" s="276">
        <f t="shared" si="34"/>
        <v>0</v>
      </c>
      <c r="Y239" s="276"/>
      <c r="Z239" s="276"/>
      <c r="AB239" s="278" t="str">
        <f t="shared" si="35"/>
        <v>TantalumLSM Brasil S.A.</v>
      </c>
    </row>
    <row r="240" spans="1:28" s="277" customFormat="1" ht="40.5">
      <c r="A240" s="216"/>
      <c r="B240" s="217" t="s">
        <v>1153</v>
      </c>
      <c r="C240" s="221" t="s">
        <v>14214</v>
      </c>
      <c r="D240" s="283" t="s">
        <v>14214</v>
      </c>
      <c r="E240" s="217" t="s">
        <v>1134</v>
      </c>
      <c r="F240" s="217" t="s">
        <v>14250</v>
      </c>
      <c r="G240" s="217" t="s">
        <v>14250</v>
      </c>
      <c r="H240" s="218">
        <f ca="1">IF(ISERROR($V240),"",OFFSET('Smelter Look-up'!$G$4,$V240-4,0))</f>
        <v>0</v>
      </c>
      <c r="I240" s="219" t="str">
        <f ca="1">IF(ISERROR($V240),"",OFFSET('Smelter Look-up'!$H$4,$V240-4,0))</f>
        <v>Seo-gu</v>
      </c>
      <c r="J240" s="219" t="str">
        <f ca="1">IF(ISERROR($V240),"",OFFSET('Smelter Look-up'!$I$4,$V240-4,0))</f>
        <v>Incheon-gwangyeoksi</v>
      </c>
      <c r="K240" s="273"/>
      <c r="L240" s="273"/>
      <c r="M240" s="273"/>
      <c r="N240" s="273"/>
      <c r="O240" s="273"/>
      <c r="P240" s="220"/>
      <c r="Q240" s="274"/>
      <c r="R240" s="217" t="str">
        <f ca="1">IF(ISERROR($V240),"",OFFSET('Smelter Look-up'!$C$4,$V240-4,0)&amp;"")</f>
        <v>LT Metal Ltd.</v>
      </c>
      <c r="S240" s="225" t="str">
        <f t="shared" ca="1" si="33"/>
        <v>KR</v>
      </c>
      <c r="T240" s="225" t="str">
        <f ca="1">IF(B240="","",IF(ISERROR(MATCH($J240,SorP!$B$1:$B$6230,0)),"",INDIRECT("'SorP'!$A$"&amp;MATCH($J240,SorP!$B$1:$B$6230,0))))</f>
        <v>KR-28</v>
      </c>
      <c r="U240" s="241"/>
      <c r="V240" s="275">
        <f>IF(C240="",NA(),MATCH($B240&amp;$C240,'Smelter Look-up'!$J:$J,0))</f>
        <v>144</v>
      </c>
      <c r="W240" s="276"/>
      <c r="X240" s="276">
        <f t="shared" si="34"/>
        <v>0</v>
      </c>
      <c r="Y240" s="276"/>
      <c r="Z240" s="276"/>
      <c r="AB240" s="278" t="str">
        <f t="shared" si="35"/>
        <v>GoldLT Metal Ltd.</v>
      </c>
    </row>
    <row r="241" spans="1:28" s="277" customFormat="1" ht="40.5">
      <c r="A241" s="216"/>
      <c r="B241" s="217" t="s">
        <v>1154</v>
      </c>
      <c r="C241" s="221" t="s">
        <v>14224</v>
      </c>
      <c r="D241" s="283" t="s">
        <v>14224</v>
      </c>
      <c r="E241" s="217" t="s">
        <v>13442</v>
      </c>
      <c r="F241" s="217" t="s">
        <v>14240</v>
      </c>
      <c r="G241" s="217" t="s">
        <v>13577</v>
      </c>
      <c r="H241" s="218">
        <f ca="1">IF(ISERROR($V241),"",OFFSET('Smelter Look-up'!$G$4,$V241-4,0))</f>
        <v>0</v>
      </c>
      <c r="I241" s="219" t="str">
        <f ca="1">IF(ISERROR($V241),"",OFFSET('Smelter Look-up'!$H$4,$V241-4,0))</f>
        <v>Kigali</v>
      </c>
      <c r="J241" s="219" t="str">
        <f ca="1">IF(ISERROR($V241),"",OFFSET('Smelter Look-up'!$I$4,$V241-4,0))</f>
        <v>Ville de Kigali</v>
      </c>
      <c r="K241" s="273"/>
      <c r="L241" s="273"/>
      <c r="M241" s="273"/>
      <c r="N241" s="273"/>
      <c r="O241" s="273"/>
      <c r="P241" s="220"/>
      <c r="Q241" s="274"/>
      <c r="R241" s="217" t="str">
        <f ca="1">IF(ISERROR($V241),"",OFFSET('Smelter Look-up'!$C$4,$V241-4,0)&amp;"")</f>
        <v>Luna Smelter, Ltd.</v>
      </c>
      <c r="S241" s="225" t="str">
        <f t="shared" ca="1" si="33"/>
        <v>RW</v>
      </c>
      <c r="T241" s="225" t="str">
        <f ca="1">IF(B241="","",IF(ISERROR(MATCH($J241,SorP!$B$1:$B$6230,0)),"",INDIRECT("'SorP'!$A$"&amp;MATCH($J241,SorP!$B$1:$B$6230,0))))</f>
        <v>RW-01</v>
      </c>
      <c r="U241" s="241"/>
      <c r="V241" s="275">
        <f>IF(C241="",NA(),MATCH($B241&amp;$C241,'Smelter Look-up'!$J:$J,0))</f>
        <v>411</v>
      </c>
      <c r="W241" s="276"/>
      <c r="X241" s="276">
        <f t="shared" si="34"/>
        <v>0</v>
      </c>
      <c r="Y241" s="276"/>
      <c r="Z241" s="276"/>
      <c r="AB241" s="278" t="str">
        <f t="shared" si="35"/>
        <v>TinLuna Smelter, Ltd.</v>
      </c>
    </row>
    <row r="242" spans="1:28" s="277" customFormat="1" ht="94.5">
      <c r="A242" s="216"/>
      <c r="B242" s="217" t="s">
        <v>1153</v>
      </c>
      <c r="C242" s="221" t="s">
        <v>1644</v>
      </c>
      <c r="D242" s="283" t="s">
        <v>1644</v>
      </c>
      <c r="E242" s="217" t="s">
        <v>1123</v>
      </c>
      <c r="F242" s="217" t="s">
        <v>718</v>
      </c>
      <c r="G242" s="217" t="s">
        <v>15513</v>
      </c>
      <c r="H242" s="218">
        <f ca="1">IF(ISERROR($V242),"",OFFSET('Smelter Look-up'!$G$4,$V242-4,0))</f>
        <v>0</v>
      </c>
      <c r="I242" s="219" t="str">
        <f ca="1">IF(ISERROR($V242),"",OFFSET('Smelter Look-up'!$H$4,$V242-4,0))</f>
        <v>Luoyang</v>
      </c>
      <c r="J242" s="219" t="str">
        <f ca="1">IF(ISERROR($V242),"",OFFSET('Smelter Look-up'!$I$4,$V242-4,0))</f>
        <v>Henan Sheng</v>
      </c>
      <c r="K242" s="273"/>
      <c r="L242" s="273"/>
      <c r="M242" s="273"/>
      <c r="N242" s="273"/>
      <c r="O242" s="273"/>
      <c r="P242" s="220"/>
      <c r="Q242" s="274"/>
      <c r="R242" s="217" t="str">
        <f ca="1">IF(ISERROR($V242),"",OFFSET('Smelter Look-up'!$C$4,$V242-4,0)&amp;"")</f>
        <v>Luoyang Zijin Yinhui Gold Refinery Co., Ltd.</v>
      </c>
      <c r="S242" s="225" t="str">
        <f t="shared" ca="1" si="33"/>
        <v>CN</v>
      </c>
      <c r="T242" s="225" t="str">
        <f ca="1">IF(B242="","",IF(ISERROR(MATCH($J242,SorP!$B$1:$B$6230,0)),"",INDIRECT("'SorP'!$A$"&amp;MATCH($J242,SorP!$B$1:$B$6230,0))))</f>
        <v>CN-HA</v>
      </c>
      <c r="U242" s="241"/>
      <c r="V242" s="275">
        <f>IF(C242="",NA(),MATCH($B242&amp;$C242,'Smelter Look-up'!$J:$J,0))</f>
        <v>145</v>
      </c>
      <c r="W242" s="276"/>
      <c r="X242" s="276">
        <f t="shared" si="34"/>
        <v>0</v>
      </c>
      <c r="Y242" s="276"/>
      <c r="Z242" s="276"/>
      <c r="AB242" s="278" t="str">
        <f t="shared" si="35"/>
        <v>GoldLuoyang Zijin Yinhui Gold Refinery Co., Ltd.</v>
      </c>
    </row>
    <row r="243" spans="1:28" s="277" customFormat="1" ht="40.5">
      <c r="A243" s="216"/>
      <c r="B243" s="217" t="s">
        <v>1154</v>
      </c>
      <c r="C243" s="221" t="s">
        <v>1898</v>
      </c>
      <c r="D243" s="283" t="s">
        <v>15640</v>
      </c>
      <c r="E243" s="217" t="s">
        <v>909</v>
      </c>
      <c r="F243" s="217" t="s">
        <v>14250</v>
      </c>
      <c r="G243" s="217" t="s">
        <v>14250</v>
      </c>
      <c r="H243" s="218">
        <f ca="1">IF(ISERROR($V243),"",OFFSET('Smelter Look-up'!$G$4,$V243-4,0))</f>
        <v>0</v>
      </c>
      <c r="I243" s="219">
        <f ca="1">IF(ISERROR($V243),"",OFFSET('Smelter Look-up'!$H$4,$V243-4,0))</f>
        <v>0</v>
      </c>
      <c r="J243" s="219">
        <f ca="1">IF(ISERROR($V243),"",OFFSET('Smelter Look-up'!$I$4,$V243-4,0))</f>
        <v>0</v>
      </c>
      <c r="K243" s="273"/>
      <c r="L243" s="273"/>
      <c r="M243" s="273"/>
      <c r="N243" s="273"/>
      <c r="O243" s="273"/>
      <c r="P243" s="220"/>
      <c r="Q243" s="274"/>
      <c r="R243" s="217" t="str">
        <f ca="1">IF(ISERROR($V243),"",OFFSET('Smelter Look-up'!$C$4,$V243-4,0)&amp;"")</f>
        <v/>
      </c>
      <c r="S243" s="225" t="str">
        <f t="shared" ca="1" si="33"/>
        <v>SG</v>
      </c>
      <c r="T243" s="225" t="str">
        <f ca="1">IF(B243="","",IF(ISERROR(MATCH($J243,SorP!$B$1:$B$6230,0)),"",INDIRECT("'SorP'!$A$"&amp;MATCH($J243,SorP!$B$1:$B$6230,0))))</f>
        <v/>
      </c>
      <c r="U243" s="241"/>
      <c r="V243" s="275">
        <f>IF(C243="",NA(),MATCH($B243&amp;$C243,'Smelter Look-up'!$J:$J,0))</f>
        <v>484</v>
      </c>
      <c r="W243" s="276"/>
      <c r="X243" s="276">
        <f t="shared" si="34"/>
        <v>0</v>
      </c>
      <c r="Y243" s="276"/>
      <c r="Z243" s="276"/>
      <c r="AB243" s="278" t="str">
        <f t="shared" si="35"/>
        <v>TinSmelter not listed</v>
      </c>
    </row>
    <row r="244" spans="1:28" s="277" customFormat="1" ht="40.5">
      <c r="A244" s="216"/>
      <c r="B244" s="217" t="s">
        <v>1154</v>
      </c>
      <c r="C244" s="221" t="s">
        <v>1898</v>
      </c>
      <c r="D244" s="283" t="s">
        <v>15641</v>
      </c>
      <c r="E244" s="217" t="s">
        <v>1123</v>
      </c>
      <c r="F244" s="217" t="s">
        <v>14250</v>
      </c>
      <c r="G244" s="217" t="s">
        <v>14250</v>
      </c>
      <c r="H244" s="218">
        <f ca="1">IF(ISERROR($V244),"",OFFSET('Smelter Look-up'!$G$4,$V244-4,0))</f>
        <v>0</v>
      </c>
      <c r="I244" s="219">
        <f ca="1">IF(ISERROR($V244),"",OFFSET('Smelter Look-up'!$H$4,$V244-4,0))</f>
        <v>0</v>
      </c>
      <c r="J244" s="219">
        <f ca="1">IF(ISERROR($V244),"",OFFSET('Smelter Look-up'!$I$4,$V244-4,0))</f>
        <v>0</v>
      </c>
      <c r="K244" s="273"/>
      <c r="L244" s="273"/>
      <c r="M244" s="273"/>
      <c r="N244" s="273"/>
      <c r="O244" s="273"/>
      <c r="P244" s="220"/>
      <c r="Q244" s="274"/>
      <c r="R244" s="217" t="str">
        <f ca="1">IF(ISERROR($V244),"",OFFSET('Smelter Look-up'!$C$4,$V244-4,0)&amp;"")</f>
        <v/>
      </c>
      <c r="S244" s="225" t="str">
        <f t="shared" ca="1" si="33"/>
        <v>CN</v>
      </c>
      <c r="T244" s="225" t="str">
        <f ca="1">IF(B244="","",IF(ISERROR(MATCH($J244,SorP!$B$1:$B$6230,0)),"",INDIRECT("'SorP'!$A$"&amp;MATCH($J244,SorP!$B$1:$B$6230,0))))</f>
        <v/>
      </c>
      <c r="U244" s="241"/>
      <c r="V244" s="275">
        <f>IF(C244="",NA(),MATCH($B244&amp;$C244,'Smelter Look-up'!$J:$J,0))</f>
        <v>484</v>
      </c>
      <c r="W244" s="276"/>
      <c r="X244" s="276">
        <f t="shared" si="34"/>
        <v>0</v>
      </c>
      <c r="Y244" s="276"/>
      <c r="Z244" s="276"/>
      <c r="AB244" s="278" t="str">
        <f t="shared" si="35"/>
        <v>TinSmelter not listed</v>
      </c>
    </row>
    <row r="245" spans="1:28" s="277" customFormat="1" ht="67.5">
      <c r="A245" s="216"/>
      <c r="B245" s="217" t="s">
        <v>1154</v>
      </c>
      <c r="C245" s="221" t="s">
        <v>14153</v>
      </c>
      <c r="D245" s="283" t="s">
        <v>14153</v>
      </c>
      <c r="E245" s="217" t="s">
        <v>1123</v>
      </c>
      <c r="F245" s="217" t="s">
        <v>14154</v>
      </c>
      <c r="G245" s="217" t="s">
        <v>14250</v>
      </c>
      <c r="H245" s="218">
        <f ca="1">IF(ISERROR($V245),"",OFFSET('Smelter Look-up'!$G$4,$V245-4,0))</f>
        <v>0</v>
      </c>
      <c r="I245" s="219" t="str">
        <f ca="1">IF(ISERROR($V245),"",OFFSET('Smelter Look-up'!$H$4,$V245-4,0))</f>
        <v>Maanshan</v>
      </c>
      <c r="J245" s="219" t="str">
        <f ca="1">IF(ISERROR($V245),"",OFFSET('Smelter Look-up'!$I$4,$V245-4,0))</f>
        <v>Anhui Sheng</v>
      </c>
      <c r="K245" s="273"/>
      <c r="L245" s="273"/>
      <c r="M245" s="273"/>
      <c r="N245" s="273"/>
      <c r="O245" s="273"/>
      <c r="P245" s="220"/>
      <c r="Q245" s="274"/>
      <c r="R245" s="217" t="str">
        <f ca="1">IF(ISERROR($V245),"",OFFSET('Smelter Look-up'!$C$4,$V245-4,0)&amp;"")</f>
        <v>Ma'anshan Weitai Tin Co., Ltd.</v>
      </c>
      <c r="S245" s="225" t="str">
        <f t="shared" ca="1" si="33"/>
        <v>CN</v>
      </c>
      <c r="T245" s="225" t="str">
        <f ca="1">IF(B245="","",IF(ISERROR(MATCH($J245,SorP!$B$1:$B$6230,0)),"",INDIRECT("'SorP'!$A$"&amp;MATCH($J245,SorP!$B$1:$B$6230,0))))</f>
        <v>CN-AH</v>
      </c>
      <c r="U245" s="241"/>
      <c r="V245" s="275">
        <f>IF(C245="",NA(),MATCH($B245&amp;$C245,'Smelter Look-up'!$J:$J,0))</f>
        <v>412</v>
      </c>
      <c r="W245" s="276"/>
      <c r="X245" s="276">
        <f t="shared" si="34"/>
        <v>0</v>
      </c>
      <c r="Y245" s="276"/>
      <c r="Z245" s="276"/>
      <c r="AB245" s="278" t="str">
        <f t="shared" si="35"/>
        <v>TinMa'anshan Weitai Tin Co., Ltd.</v>
      </c>
    </row>
    <row r="246" spans="1:28" s="277" customFormat="1" ht="81">
      <c r="A246" s="216"/>
      <c r="B246" s="217" t="s">
        <v>1154</v>
      </c>
      <c r="C246" s="221" t="s">
        <v>2274</v>
      </c>
      <c r="D246" s="283" t="s">
        <v>2274</v>
      </c>
      <c r="E246" s="217" t="s">
        <v>1119</v>
      </c>
      <c r="F246" s="217" t="s">
        <v>142</v>
      </c>
      <c r="G246" s="217" t="s">
        <v>15513</v>
      </c>
      <c r="H246" s="218">
        <f ca="1">IF(ISERROR($V246),"",OFFSET('Smelter Look-up'!$G$4,$V246-4,0))</f>
        <v>0</v>
      </c>
      <c r="I246" s="219" t="str">
        <f ca="1">IF(ISERROR($V246),"",OFFSET('Smelter Look-up'!$H$4,$V246-4,0))</f>
        <v>São João del Rei</v>
      </c>
      <c r="J246" s="219" t="str">
        <f ca="1">IF(ISERROR($V246),"",OFFSET('Smelter Look-up'!$I$4,$V246-4,0))</f>
        <v>Minas Gerais</v>
      </c>
      <c r="K246" s="273"/>
      <c r="L246" s="273"/>
      <c r="M246" s="273"/>
      <c r="N246" s="273"/>
      <c r="O246" s="273"/>
      <c r="P246" s="220"/>
      <c r="Q246" s="274"/>
      <c r="R246" s="217" t="str">
        <f ca="1">IF(ISERROR($V246),"",OFFSET('Smelter Look-up'!$C$4,$V246-4,0)&amp;"")</f>
        <v>Magnu's Minerais Metais e Ligas Ltda.</v>
      </c>
      <c r="S246" s="225" t="str">
        <f t="shared" ca="1" si="33"/>
        <v>BR</v>
      </c>
      <c r="T246" s="225" t="str">
        <f ca="1">IF(B246="","",IF(ISERROR(MATCH($J246,SorP!$B$1:$B$6230,0)),"",INDIRECT("'SorP'!$A$"&amp;MATCH($J246,SorP!$B$1:$B$6230,0))))</f>
        <v>BR-MG</v>
      </c>
      <c r="U246" s="241"/>
      <c r="V246" s="275">
        <f>IF(C246="",NA(),MATCH($B246&amp;$C246,'Smelter Look-up'!$J:$J,0))</f>
        <v>413</v>
      </c>
      <c r="W246" s="276"/>
      <c r="X246" s="276">
        <f t="shared" si="34"/>
        <v>0</v>
      </c>
      <c r="Y246" s="276"/>
      <c r="Z246" s="276"/>
      <c r="AB246" s="278" t="str">
        <f t="shared" si="35"/>
        <v>TinMagnu's Minerais Metais e Ligas Ltda.</v>
      </c>
    </row>
    <row r="247" spans="1:28" s="277" customFormat="1" ht="81">
      <c r="A247" s="216"/>
      <c r="B247" s="217" t="s">
        <v>1154</v>
      </c>
      <c r="C247" s="221" t="s">
        <v>844</v>
      </c>
      <c r="D247" s="283" t="s">
        <v>844</v>
      </c>
      <c r="E247" s="217" t="s">
        <v>1138</v>
      </c>
      <c r="F247" s="217" t="s">
        <v>792</v>
      </c>
      <c r="G247" s="217" t="s">
        <v>15513</v>
      </c>
      <c r="H247" s="218">
        <f ca="1">IF(ISERROR($V247),"",OFFSET('Smelter Look-up'!$G$4,$V247-4,0))</f>
        <v>0</v>
      </c>
      <c r="I247" s="219" t="str">
        <f ca="1">IF(ISERROR($V247),"",OFFSET('Smelter Look-up'!$H$4,$V247-4,0))</f>
        <v>Butterworth</v>
      </c>
      <c r="J247" s="219" t="str">
        <f ca="1">IF(ISERROR($V247),"",OFFSET('Smelter Look-up'!$I$4,$V247-4,0))</f>
        <v>Pulau Pinang</v>
      </c>
      <c r="K247" s="273"/>
      <c r="L247" s="273"/>
      <c r="M247" s="273"/>
      <c r="N247" s="273"/>
      <c r="O247" s="273"/>
      <c r="P247" s="220"/>
      <c r="Q247" s="274"/>
      <c r="R247" s="217" t="str">
        <f ca="1">IF(ISERROR($V247),"",OFFSET('Smelter Look-up'!$C$4,$V247-4,0)&amp;"")</f>
        <v>Malaysia Smelting Corporation (MSC)</v>
      </c>
      <c r="S247" s="225" t="str">
        <f t="shared" ca="1" si="33"/>
        <v>MY</v>
      </c>
      <c r="T247" s="225" t="str">
        <f ca="1">IF(B247="","",IF(ISERROR(MATCH($J247,SorP!$B$1:$B$6230,0)),"",INDIRECT("'SorP'!$A$"&amp;MATCH($J247,SorP!$B$1:$B$6230,0))))</f>
        <v>MY-07</v>
      </c>
      <c r="U247" s="241"/>
      <c r="V247" s="275">
        <f>IF(C247="",NA(),MATCH($B247&amp;$C247,'Smelter Look-up'!$J:$J,0))</f>
        <v>414</v>
      </c>
      <c r="W247" s="276"/>
      <c r="X247" s="276">
        <f t="shared" si="34"/>
        <v>0</v>
      </c>
      <c r="Y247" s="276"/>
      <c r="Z247" s="276"/>
      <c r="AB247" s="278" t="str">
        <f t="shared" si="35"/>
        <v>TinMalaysia Smelting Corporation (MSC)</v>
      </c>
    </row>
    <row r="248" spans="1:28" s="277" customFormat="1" ht="40.5">
      <c r="A248" s="216"/>
      <c r="B248" s="217" t="s">
        <v>1154</v>
      </c>
      <c r="C248" s="221" t="s">
        <v>1898</v>
      </c>
      <c r="D248" s="283" t="s">
        <v>15642</v>
      </c>
      <c r="E248" s="217" t="s">
        <v>1138</v>
      </c>
      <c r="F248" s="217" t="s">
        <v>14250</v>
      </c>
      <c r="G248" s="217" t="s">
        <v>14250</v>
      </c>
      <c r="H248" s="218" t="s">
        <v>15514</v>
      </c>
      <c r="I248" s="219" t="s">
        <v>1819</v>
      </c>
      <c r="J248" s="219" t="s">
        <v>8983</v>
      </c>
      <c r="K248" s="273"/>
      <c r="L248" s="273"/>
      <c r="M248" s="273"/>
      <c r="N248" s="273"/>
      <c r="O248" s="273"/>
      <c r="P248" s="220"/>
      <c r="Q248" s="274"/>
      <c r="R248" s="217" t="str">
        <f ca="1">IF(ISERROR($V248),"",OFFSET('Smelter Look-up'!$C$4,$V248-4,0)&amp;"")</f>
        <v/>
      </c>
      <c r="S248" s="225" t="str">
        <f t="shared" ca="1" si="33"/>
        <v>MY</v>
      </c>
      <c r="T248" s="225" t="str">
        <f ca="1">IF(B248="","",IF(ISERROR(MATCH($J248,SorP!$B$1:$B$6230,0)),"",INDIRECT("'SorP'!$A$"&amp;MATCH($J248,SorP!$B$1:$B$6230,0))))</f>
        <v>MY-07</v>
      </c>
      <c r="U248" s="241"/>
      <c r="V248" s="275">
        <f>IF(C248="",NA(),MATCH($B248&amp;$C248,'Smelter Look-up'!$J:$J,0))</f>
        <v>484</v>
      </c>
      <c r="W248" s="276"/>
      <c r="X248" s="276">
        <f t="shared" si="34"/>
        <v>0</v>
      </c>
      <c r="Y248" s="276"/>
      <c r="Z248" s="276"/>
      <c r="AB248" s="278" t="str">
        <f t="shared" si="35"/>
        <v>TinSmelter not listed</v>
      </c>
    </row>
    <row r="249" spans="1:28" s="277" customFormat="1" ht="81">
      <c r="A249" s="216"/>
      <c r="B249" s="217" t="s">
        <v>1156</v>
      </c>
      <c r="C249" s="221" t="s">
        <v>158</v>
      </c>
      <c r="D249" s="283" t="s">
        <v>158</v>
      </c>
      <c r="E249" s="217" t="s">
        <v>1123</v>
      </c>
      <c r="F249" s="217" t="s">
        <v>147</v>
      </c>
      <c r="G249" s="217" t="s">
        <v>15513</v>
      </c>
      <c r="H249" s="218">
        <f ca="1">IF(ISERROR($V249),"",OFFSET('Smelter Look-up'!$G$4,$V249-4,0))</f>
        <v>0</v>
      </c>
      <c r="I249" s="219" t="str">
        <f ca="1">IF(ISERROR($V249),"",OFFSET('Smelter Look-up'!$H$4,$V249-4,0))</f>
        <v>Nanfeng Xiaozhai</v>
      </c>
      <c r="J249" s="219" t="str">
        <f ca="1">IF(ISERROR($V249),"",OFFSET('Smelter Look-up'!$I$4,$V249-4,0))</f>
        <v>Yunnan Sheng</v>
      </c>
      <c r="K249" s="273"/>
      <c r="L249" s="273"/>
      <c r="M249" s="273"/>
      <c r="N249" s="273"/>
      <c r="O249" s="273"/>
      <c r="P249" s="220"/>
      <c r="Q249" s="274"/>
      <c r="R249" s="217" t="str">
        <f ca="1">IF(ISERROR($V249),"",OFFSET('Smelter Look-up'!$C$4,$V249-4,0)&amp;"")</f>
        <v>Malipo Haiyu Tungsten Co., Ltd.</v>
      </c>
      <c r="S249" s="225" t="str">
        <f t="shared" ca="1" si="33"/>
        <v>CN</v>
      </c>
      <c r="T249" s="225" t="str">
        <f ca="1">IF(B249="","",IF(ISERROR(MATCH($J249,SorP!$B$1:$B$6230,0)),"",INDIRECT("'SorP'!$A$"&amp;MATCH($J249,SorP!$B$1:$B$6230,0))))</f>
        <v>CN-YN</v>
      </c>
      <c r="U249" s="241"/>
      <c r="V249" s="275">
        <f>IF(C249="",NA(),MATCH($B249&amp;$C249,'Smelter Look-up'!$J:$J,0))</f>
        <v>541</v>
      </c>
      <c r="W249" s="276"/>
      <c r="X249" s="276">
        <f t="shared" si="34"/>
        <v>0</v>
      </c>
      <c r="Y249" s="276"/>
      <c r="Z249" s="276"/>
      <c r="AB249" s="278" t="str">
        <f t="shared" si="35"/>
        <v>TungstenMalipo Haiyu Tungsten Co., Ltd.</v>
      </c>
    </row>
    <row r="250" spans="1:28" s="277" customFormat="1" ht="40.5">
      <c r="A250" s="216"/>
      <c r="B250" s="217" t="s">
        <v>1153</v>
      </c>
      <c r="C250" s="221" t="s">
        <v>2655</v>
      </c>
      <c r="D250" s="283" t="s">
        <v>2655</v>
      </c>
      <c r="E250" s="217" t="s">
        <v>1119</v>
      </c>
      <c r="F250" s="217" t="s">
        <v>2656</v>
      </c>
      <c r="G250" s="217" t="s">
        <v>15513</v>
      </c>
      <c r="H250" s="218">
        <f ca="1">IF(ISERROR($V250),"",OFFSET('Smelter Look-up'!$G$4,$V250-4,0))</f>
        <v>0</v>
      </c>
      <c r="I250" s="219" t="str">
        <f ca="1">IF(ISERROR($V250),"",OFFSET('Smelter Look-up'!$H$4,$V250-4,0))</f>
        <v>Sao Paulo</v>
      </c>
      <c r="J250" s="219" t="str">
        <f ca="1">IF(ISERROR($V250),"",OFFSET('Smelter Look-up'!$I$4,$V250-4,0))</f>
        <v>São Paulo</v>
      </c>
      <c r="K250" s="273"/>
      <c r="L250" s="273"/>
      <c r="M250" s="273"/>
      <c r="N250" s="273"/>
      <c r="O250" s="273"/>
      <c r="P250" s="220"/>
      <c r="Q250" s="274"/>
      <c r="R250" s="217" t="str">
        <f ca="1">IF(ISERROR($V250),"",OFFSET('Smelter Look-up'!$C$4,$V250-4,0)&amp;"")</f>
        <v>Marsam Metals</v>
      </c>
      <c r="S250" s="225" t="str">
        <f t="shared" ca="1" si="33"/>
        <v>BR</v>
      </c>
      <c r="T250" s="225" t="str">
        <f ca="1">IF(B250="","",IF(ISERROR(MATCH($J250,SorP!$B$1:$B$6230,0)),"",INDIRECT("'SorP'!$A$"&amp;MATCH($J250,SorP!$B$1:$B$6230,0))))</f>
        <v>BR-SP</v>
      </c>
      <c r="U250" s="241"/>
      <c r="V250" s="275">
        <f>IF(C250="",NA(),MATCH($B250&amp;$C250,'Smelter Look-up'!$J:$J,0))</f>
        <v>148</v>
      </c>
      <c r="W250" s="276"/>
      <c r="X250" s="276">
        <f t="shared" si="34"/>
        <v>0</v>
      </c>
      <c r="Y250" s="276"/>
      <c r="Z250" s="276"/>
      <c r="AB250" s="278" t="str">
        <f t="shared" si="35"/>
        <v>GoldMarsam Metals</v>
      </c>
    </row>
    <row r="251" spans="1:28" s="277" customFormat="1" ht="94.5">
      <c r="A251" s="216"/>
      <c r="B251" s="217" t="s">
        <v>1156</v>
      </c>
      <c r="C251" s="221" t="s">
        <v>14177</v>
      </c>
      <c r="D251" s="283" t="s">
        <v>14177</v>
      </c>
      <c r="E251" s="217" t="s">
        <v>915</v>
      </c>
      <c r="F251" s="217" t="s">
        <v>1455</v>
      </c>
      <c r="G251" s="217" t="s">
        <v>15513</v>
      </c>
      <c r="H251" s="218">
        <f ca="1">IF(ISERROR($V251),"",OFFSET('Smelter Look-up'!$G$4,$V251-4,0))</f>
        <v>0</v>
      </c>
      <c r="I251" s="219" t="str">
        <f ca="1">IF(ISERROR($V251),"",OFFSET('Smelter Look-up'!$H$4,$V251-4,0))</f>
        <v>Dai Tu</v>
      </c>
      <c r="J251" s="219" t="str">
        <f ca="1">IF(ISERROR($V251),"",OFFSET('Smelter Look-up'!$I$4,$V251-4,0))</f>
        <v>Thái Nguyên</v>
      </c>
      <c r="K251" s="273"/>
      <c r="L251" s="273"/>
      <c r="M251" s="273"/>
      <c r="N251" s="273"/>
      <c r="O251" s="273"/>
      <c r="P251" s="220"/>
      <c r="Q251" s="274"/>
      <c r="R251" s="217" t="str">
        <f ca="1">IF(ISERROR($V251),"",OFFSET('Smelter Look-up'!$C$4,$V251-4,0)&amp;"")</f>
        <v>Masan Tungsten Chemical LLC (MTC)</v>
      </c>
      <c r="S251" s="225" t="str">
        <f t="shared" ca="1" si="33"/>
        <v>VN</v>
      </c>
      <c r="T251" s="225" t="str">
        <f ca="1">IF(B251="","",IF(ISERROR(MATCH($J251,SorP!$B$1:$B$6230,0)),"",INDIRECT("'SorP'!$A$"&amp;MATCH($J251,SorP!$B$1:$B$6230,0))))</f>
        <v>VN-69</v>
      </c>
      <c r="U251" s="241"/>
      <c r="V251" s="275">
        <f>IF(C251="",NA(),MATCH($B251&amp;$C251,'Smelter Look-up'!$J:$J,0))</f>
        <v>542</v>
      </c>
      <c r="W251" s="276"/>
      <c r="X251" s="276">
        <f t="shared" si="34"/>
        <v>0</v>
      </c>
      <c r="Y251" s="276"/>
      <c r="Z251" s="276"/>
      <c r="AB251" s="278" t="str">
        <f t="shared" si="35"/>
        <v>TungstenMasan Tungsten Chemical LLC (MTC)</v>
      </c>
    </row>
    <row r="252" spans="1:28" s="277" customFormat="1" ht="40.5">
      <c r="A252" s="216"/>
      <c r="B252" s="217" t="s">
        <v>1154</v>
      </c>
      <c r="C252" s="221" t="s">
        <v>1898</v>
      </c>
      <c r="D252" s="283" t="s">
        <v>15643</v>
      </c>
      <c r="E252" s="217" t="s">
        <v>1131</v>
      </c>
      <c r="F252" s="217" t="s">
        <v>14250</v>
      </c>
      <c r="G252" s="217" t="s">
        <v>14250</v>
      </c>
      <c r="H252" s="218">
        <f ca="1">IF(ISERROR($V252),"",OFFSET('Smelter Look-up'!$G$4,$V252-4,0))</f>
        <v>0</v>
      </c>
      <c r="I252" s="219">
        <f ca="1">IF(ISERROR($V252),"",OFFSET('Smelter Look-up'!$H$4,$V252-4,0))</f>
        <v>0</v>
      </c>
      <c r="J252" s="219">
        <f ca="1">IF(ISERROR($V252),"",OFFSET('Smelter Look-up'!$I$4,$V252-4,0))</f>
        <v>0</v>
      </c>
      <c r="K252" s="273"/>
      <c r="L252" s="273"/>
      <c r="M252" s="273"/>
      <c r="N252" s="273"/>
      <c r="O252" s="273"/>
      <c r="P252" s="220"/>
      <c r="Q252" s="274"/>
      <c r="R252" s="217" t="str">
        <f ca="1">IF(ISERROR($V252),"",OFFSET('Smelter Look-up'!$C$4,$V252-4,0)&amp;"")</f>
        <v/>
      </c>
      <c r="S252" s="225" t="str">
        <f t="shared" ca="1" si="33"/>
        <v>JP</v>
      </c>
      <c r="T252" s="225" t="str">
        <f ca="1">IF(B252="","",IF(ISERROR(MATCH($J252,SorP!$B$1:$B$6230,0)),"",INDIRECT("'SorP'!$A$"&amp;MATCH($J252,SorP!$B$1:$B$6230,0))))</f>
        <v/>
      </c>
      <c r="U252" s="241"/>
      <c r="V252" s="275">
        <f>IF(C252="",NA(),MATCH($B252&amp;$C252,'Smelter Look-up'!$J:$J,0))</f>
        <v>484</v>
      </c>
      <c r="W252" s="276"/>
      <c r="X252" s="276">
        <f t="shared" si="34"/>
        <v>0</v>
      </c>
      <c r="Y252" s="276"/>
      <c r="Z252" s="276"/>
      <c r="AB252" s="278" t="str">
        <f t="shared" si="35"/>
        <v>TinSmelter not listed</v>
      </c>
    </row>
    <row r="253" spans="1:28" s="277" customFormat="1" ht="27">
      <c r="A253" s="216"/>
      <c r="B253" s="217" t="s">
        <v>1153</v>
      </c>
      <c r="C253" s="221" t="s">
        <v>933</v>
      </c>
      <c r="D253" s="283" t="s">
        <v>933</v>
      </c>
      <c r="E253" s="217" t="s">
        <v>2576</v>
      </c>
      <c r="F253" s="217" t="s">
        <v>719</v>
      </c>
      <c r="G253" s="217" t="s">
        <v>15513</v>
      </c>
      <c r="H253" s="218">
        <f ca="1">IF(ISERROR($V253),"",OFFSET('Smelter Look-up'!$G$4,$V253-4,0))</f>
        <v>0</v>
      </c>
      <c r="I253" s="219" t="str">
        <f ca="1">IF(ISERROR($V253),"",OFFSET('Smelter Look-up'!$H$4,$V253-4,0))</f>
        <v>Buffalo</v>
      </c>
      <c r="J253" s="219" t="str">
        <f ca="1">IF(ISERROR($V253),"",OFFSET('Smelter Look-up'!$I$4,$V253-4,0))</f>
        <v>New York</v>
      </c>
      <c r="K253" s="273"/>
      <c r="L253" s="273"/>
      <c r="M253" s="273"/>
      <c r="N253" s="273"/>
      <c r="O253" s="273"/>
      <c r="P253" s="220"/>
      <c r="Q253" s="274"/>
      <c r="R253" s="217" t="str">
        <f ca="1">IF(ISERROR($V253),"",OFFSET('Smelter Look-up'!$C$4,$V253-4,0)&amp;"")</f>
        <v>Materion</v>
      </c>
      <c r="S253" s="225" t="str">
        <f t="shared" ca="1" si="33"/>
        <v>US</v>
      </c>
      <c r="T253" s="225" t="str">
        <f ca="1">IF(B253="","",IF(ISERROR(MATCH($J253,SorP!$B$1:$B$6230,0)),"",INDIRECT("'SorP'!$A$"&amp;MATCH($J253,SorP!$B$1:$B$6230,0))))</f>
        <v>US-NY</v>
      </c>
      <c r="U253" s="241"/>
      <c r="V253" s="275">
        <f>IF(C253="",NA(),MATCH($B253&amp;$C253,'Smelter Look-up'!$J:$J,0))</f>
        <v>149</v>
      </c>
      <c r="W253" s="276"/>
      <c r="X253" s="276">
        <f t="shared" si="34"/>
        <v>0</v>
      </c>
      <c r="Y253" s="276"/>
      <c r="Z253" s="276"/>
      <c r="AB253" s="278" t="str">
        <f t="shared" si="35"/>
        <v>GoldMaterion</v>
      </c>
    </row>
    <row r="254" spans="1:28" s="277" customFormat="1" ht="54">
      <c r="A254" s="216"/>
      <c r="B254" s="217" t="s">
        <v>1153</v>
      </c>
      <c r="C254" s="221" t="s">
        <v>59</v>
      </c>
      <c r="D254" s="283" t="s">
        <v>59</v>
      </c>
      <c r="E254" s="217" t="s">
        <v>1131</v>
      </c>
      <c r="F254" s="217" t="s">
        <v>720</v>
      </c>
      <c r="G254" s="217" t="s">
        <v>15513</v>
      </c>
      <c r="H254" s="218">
        <f ca="1">IF(ISERROR($V254),"",OFFSET('Smelter Look-up'!$G$4,$V254-4,0))</f>
        <v>0</v>
      </c>
      <c r="I254" s="219" t="str">
        <f ca="1">IF(ISERROR($V254),"",OFFSET('Smelter Look-up'!$H$4,$V254-4,0))</f>
        <v>Iruma</v>
      </c>
      <c r="J254" s="219" t="str">
        <f ca="1">IF(ISERROR($V254),"",OFFSET('Smelter Look-up'!$I$4,$V254-4,0))</f>
        <v>Saitama</v>
      </c>
      <c r="K254" s="273"/>
      <c r="L254" s="273"/>
      <c r="M254" s="273"/>
      <c r="N254" s="273"/>
      <c r="O254" s="273"/>
      <c r="P254" s="220"/>
      <c r="Q254" s="274"/>
      <c r="R254" s="217" t="str">
        <f ca="1">IF(ISERROR($V254),"",OFFSET('Smelter Look-up'!$C$4,$V254-4,0)&amp;"")</f>
        <v>Matsuda Sangyo Co., Ltd.</v>
      </c>
      <c r="S254" s="225" t="str">
        <f t="shared" ca="1" si="33"/>
        <v>JP</v>
      </c>
      <c r="T254" s="225" t="str">
        <f ca="1">IF(B254="","",IF(ISERROR(MATCH($J254,SorP!$B$1:$B$6230,0)),"",INDIRECT("'SorP'!$A$"&amp;MATCH($J254,SorP!$B$1:$B$6230,0))))</f>
        <v>JP-11</v>
      </c>
      <c r="U254" s="241"/>
      <c r="V254" s="275">
        <f>IF(C254="",NA(),MATCH($B254&amp;$C254,'Smelter Look-up'!$J:$J,0))</f>
        <v>150</v>
      </c>
      <c r="W254" s="276"/>
      <c r="X254" s="276">
        <f t="shared" si="34"/>
        <v>0</v>
      </c>
      <c r="Y254" s="276"/>
      <c r="Z254" s="276"/>
      <c r="AB254" s="278" t="str">
        <f t="shared" si="35"/>
        <v>GoldMatsuda Sangyo Co., Ltd.</v>
      </c>
    </row>
    <row r="255" spans="1:28" s="277" customFormat="1" ht="67.5">
      <c r="A255" s="216"/>
      <c r="B255" s="217" t="s">
        <v>1153</v>
      </c>
      <c r="C255" s="221" t="s">
        <v>1898</v>
      </c>
      <c r="D255" s="283" t="s">
        <v>15644</v>
      </c>
      <c r="E255" s="217" t="s">
        <v>1129</v>
      </c>
      <c r="F255" s="217" t="s">
        <v>14250</v>
      </c>
      <c r="G255" s="217" t="s">
        <v>14250</v>
      </c>
      <c r="H255" s="218" t="s">
        <v>15645</v>
      </c>
      <c r="I255" s="219" t="s">
        <v>14250</v>
      </c>
      <c r="J255" s="219" t="s">
        <v>14250</v>
      </c>
      <c r="K255" s="273" t="s">
        <v>15646</v>
      </c>
      <c r="L255" s="273" t="s">
        <v>15647</v>
      </c>
      <c r="M255" s="273"/>
      <c r="N255" s="273"/>
      <c r="O255" s="273" t="s">
        <v>15521</v>
      </c>
      <c r="P255" s="220"/>
      <c r="Q255" s="274"/>
      <c r="R255" s="217" t="str">
        <f ca="1">IF(ISERROR($V255),"",OFFSET('Smelter Look-up'!$C$4,$V255-4,0)&amp;"")</f>
        <v/>
      </c>
      <c r="S255" s="225" t="str">
        <f t="shared" ca="1" si="33"/>
        <v>IN</v>
      </c>
      <c r="T255" s="225" t="str">
        <f ca="1">IF(B255="","",IF(ISERROR(MATCH($J255,SorP!$B$1:$B$6230,0)),"",INDIRECT("'SorP'!$A$"&amp;MATCH($J255,SorP!$B$1:$B$6230,0))))</f>
        <v/>
      </c>
      <c r="U255" s="241"/>
      <c r="V255" s="275">
        <f>IF(C255="",NA(),MATCH($B255&amp;$C255,'Smelter Look-up'!$J:$J,0))</f>
        <v>293</v>
      </c>
      <c r="W255" s="276"/>
      <c r="X255" s="276">
        <f t="shared" si="34"/>
        <v>0</v>
      </c>
      <c r="Y255" s="276"/>
      <c r="Z255" s="276"/>
      <c r="AB255" s="278" t="str">
        <f t="shared" si="35"/>
        <v>GoldSmelter not listed</v>
      </c>
    </row>
    <row r="256" spans="1:28" s="277" customFormat="1" ht="81">
      <c r="A256" s="216"/>
      <c r="B256" s="217" t="s">
        <v>1156</v>
      </c>
      <c r="C256" s="221" t="s">
        <v>1898</v>
      </c>
      <c r="D256" s="283" t="s">
        <v>15648</v>
      </c>
      <c r="E256" s="217" t="s">
        <v>1129</v>
      </c>
      <c r="F256" s="217" t="s">
        <v>14250</v>
      </c>
      <c r="G256" s="217" t="s">
        <v>14250</v>
      </c>
      <c r="H256" s="218">
        <f ca="1">IF(ISERROR($V256),"",OFFSET('Smelter Look-up'!$G$4,$V256-4,0))</f>
        <v>0</v>
      </c>
      <c r="I256" s="219">
        <f ca="1">IF(ISERROR($V256),"",OFFSET('Smelter Look-up'!$H$4,$V256-4,0))</f>
        <v>0</v>
      </c>
      <c r="J256" s="219">
        <f ca="1">IF(ISERROR($V256),"",OFFSET('Smelter Look-up'!$I$4,$V256-4,0))</f>
        <v>0</v>
      </c>
      <c r="K256" s="273"/>
      <c r="L256" s="273"/>
      <c r="M256" s="273"/>
      <c r="N256" s="273"/>
      <c r="O256" s="273"/>
      <c r="P256" s="220"/>
      <c r="Q256" s="274" t="s">
        <v>15525</v>
      </c>
      <c r="R256" s="217" t="str">
        <f ca="1">IF(ISERROR($V256),"",OFFSET('Smelter Look-up'!$C$4,$V256-4,0)&amp;"")</f>
        <v/>
      </c>
      <c r="S256" s="225" t="str">
        <f t="shared" ca="1" si="33"/>
        <v>IN</v>
      </c>
      <c r="T256" s="225" t="str">
        <f ca="1">IF(B256="","",IF(ISERROR(MATCH($J256,SorP!$B$1:$B$6230,0)),"",INDIRECT("'SorP'!$A$"&amp;MATCH($J256,SorP!$B$1:$B$6230,0))))</f>
        <v/>
      </c>
      <c r="U256" s="241"/>
      <c r="V256" s="275">
        <f>IF(C256="",NA(),MATCH($B256&amp;$C256,'Smelter Look-up'!$J:$J,0))</f>
        <v>590</v>
      </c>
      <c r="W256" s="276"/>
      <c r="X256" s="276">
        <f t="shared" si="34"/>
        <v>0</v>
      </c>
      <c r="Y256" s="276"/>
      <c r="Z256" s="276"/>
      <c r="AB256" s="278" t="str">
        <f t="shared" si="35"/>
        <v>TungstenSmelter not listed</v>
      </c>
    </row>
    <row r="257" spans="1:28" s="277" customFormat="1" ht="54">
      <c r="A257" s="216"/>
      <c r="B257" s="217" t="s">
        <v>1154</v>
      </c>
      <c r="C257" s="221" t="s">
        <v>2468</v>
      </c>
      <c r="D257" s="283" t="s">
        <v>2468</v>
      </c>
      <c r="E257" s="217" t="s">
        <v>1119</v>
      </c>
      <c r="F257" s="217" t="s">
        <v>1349</v>
      </c>
      <c r="G257" s="217" t="s">
        <v>15513</v>
      </c>
      <c r="H257" s="218">
        <f ca="1">IF(ISERROR($V257),"",OFFSET('Smelter Look-up'!$G$4,$V257-4,0))</f>
        <v>0</v>
      </c>
      <c r="I257" s="219" t="str">
        <f ca="1">IF(ISERROR($V257),"",OFFSET('Smelter Look-up'!$H$4,$V257-4,0))</f>
        <v>Ariquemes</v>
      </c>
      <c r="J257" s="219" t="str">
        <f ca="1">IF(ISERROR($V257),"",OFFSET('Smelter Look-up'!$I$4,$V257-4,0))</f>
        <v>Rondônia</v>
      </c>
      <c r="K257" s="273"/>
      <c r="L257" s="273"/>
      <c r="M257" s="273"/>
      <c r="N257" s="273"/>
      <c r="O257" s="273"/>
      <c r="P257" s="220"/>
      <c r="Q257" s="274"/>
      <c r="R257" s="217" t="str">
        <f ca="1">IF(ISERROR($V257),"",OFFSET('Smelter Look-up'!$C$4,$V257-4,0)&amp;"")</f>
        <v>Melt Metais e Ligas S.A.</v>
      </c>
      <c r="S257" s="225" t="str">
        <f t="shared" ca="1" si="33"/>
        <v>BR</v>
      </c>
      <c r="T257" s="225" t="str">
        <f ca="1">IF(B257="","",IF(ISERROR(MATCH($J257,SorP!$B$1:$B$6230,0)),"",INDIRECT("'SorP'!$A$"&amp;MATCH($J257,SorP!$B$1:$B$6230,0))))</f>
        <v>BR-RO</v>
      </c>
      <c r="U257" s="241"/>
      <c r="V257" s="275">
        <f>IF(C257="",NA(),MATCH($B257&amp;$C257,'Smelter Look-up'!$J:$J,0))</f>
        <v>415</v>
      </c>
      <c r="W257" s="276"/>
      <c r="X257" s="276">
        <f t="shared" si="34"/>
        <v>0</v>
      </c>
      <c r="Y257" s="276"/>
      <c r="Z257" s="276"/>
      <c r="AB257" s="278" t="str">
        <f t="shared" si="35"/>
        <v>TinMelt Metais e Ligas S.A.</v>
      </c>
    </row>
    <row r="258" spans="1:28" s="277" customFormat="1" ht="40.5">
      <c r="A258" s="216"/>
      <c r="B258" s="217" t="s">
        <v>1154</v>
      </c>
      <c r="C258" s="221" t="s">
        <v>1898</v>
      </c>
      <c r="D258" s="283" t="s">
        <v>15649</v>
      </c>
      <c r="E258" s="217" t="s">
        <v>1128</v>
      </c>
      <c r="F258" s="217" t="s">
        <v>14250</v>
      </c>
      <c r="G258" s="217" t="s">
        <v>14250</v>
      </c>
      <c r="H258" s="218" t="s">
        <v>14250</v>
      </c>
      <c r="I258" s="219" t="s">
        <v>15650</v>
      </c>
      <c r="J258" s="219" t="s">
        <v>13183</v>
      </c>
      <c r="K258" s="273"/>
      <c r="L258" s="273"/>
      <c r="M258" s="273"/>
      <c r="N258" s="273"/>
      <c r="O258" s="273"/>
      <c r="P258" s="220"/>
      <c r="Q258" s="274"/>
      <c r="R258" s="217" t="str">
        <f ca="1">IF(ISERROR($V258),"",OFFSET('Smelter Look-up'!$C$4,$V258-4,0)&amp;"")</f>
        <v/>
      </c>
      <c r="S258" s="225" t="str">
        <f t="shared" ca="1" si="33"/>
        <v>ID</v>
      </c>
      <c r="T258" s="225" t="str">
        <f ca="1">IF(B258="","",IF(ISERROR(MATCH($J258,SorP!$B$1:$B$6230,0)),"",INDIRECT("'SorP'!$A$"&amp;MATCH($J258,SorP!$B$1:$B$6230,0))))</f>
        <v>ID-BB</v>
      </c>
      <c r="U258" s="241"/>
      <c r="V258" s="275">
        <f>IF(C258="",NA(),MATCH($B258&amp;$C258,'Smelter Look-up'!$J:$J,0))</f>
        <v>484</v>
      </c>
      <c r="W258" s="276"/>
      <c r="X258" s="276">
        <f t="shared" si="34"/>
        <v>0</v>
      </c>
      <c r="Y258" s="276"/>
      <c r="Z258" s="276"/>
      <c r="AB258" s="278" t="str">
        <f t="shared" si="35"/>
        <v>TinSmelter not listed</v>
      </c>
    </row>
    <row r="259" spans="1:28" s="277" customFormat="1" ht="40.5">
      <c r="A259" s="216"/>
      <c r="B259" s="217" t="s">
        <v>1154</v>
      </c>
      <c r="C259" s="221" t="s">
        <v>1898</v>
      </c>
      <c r="D259" s="283" t="s">
        <v>15651</v>
      </c>
      <c r="E259" s="217" t="s">
        <v>1138</v>
      </c>
      <c r="F259" s="217" t="s">
        <v>14250</v>
      </c>
      <c r="G259" s="217" t="s">
        <v>14250</v>
      </c>
      <c r="H259" s="218">
        <f ca="1">IF(ISERROR($V259),"",OFFSET('Smelter Look-up'!$G$4,$V259-4,0))</f>
        <v>0</v>
      </c>
      <c r="I259" s="219">
        <f ca="1">IF(ISERROR($V259),"",OFFSET('Smelter Look-up'!$H$4,$V259-4,0))</f>
        <v>0</v>
      </c>
      <c r="J259" s="219">
        <f ca="1">IF(ISERROR($V259),"",OFFSET('Smelter Look-up'!$I$4,$V259-4,0))</f>
        <v>0</v>
      </c>
      <c r="K259" s="273"/>
      <c r="L259" s="273"/>
      <c r="M259" s="273"/>
      <c r="N259" s="273"/>
      <c r="O259" s="273"/>
      <c r="P259" s="220"/>
      <c r="Q259" s="274"/>
      <c r="R259" s="217" t="str">
        <f ca="1">IF(ISERROR($V259),"",OFFSET('Smelter Look-up'!$C$4,$V259-4,0)&amp;"")</f>
        <v/>
      </c>
      <c r="S259" s="225" t="str">
        <f t="shared" ca="1" si="33"/>
        <v>MY</v>
      </c>
      <c r="T259" s="225" t="str">
        <f ca="1">IF(B259="","",IF(ISERROR(MATCH($J259,SorP!$B$1:$B$6230,0)),"",INDIRECT("'SorP'!$A$"&amp;MATCH($J259,SorP!$B$1:$B$6230,0))))</f>
        <v/>
      </c>
      <c r="U259" s="241"/>
      <c r="V259" s="275">
        <f>IF(C259="",NA(),MATCH($B259&amp;$C259,'Smelter Look-up'!$J:$J,0))</f>
        <v>484</v>
      </c>
      <c r="W259" s="276"/>
      <c r="X259" s="276">
        <f t="shared" si="34"/>
        <v>0</v>
      </c>
      <c r="Y259" s="276"/>
      <c r="Z259" s="276"/>
      <c r="AB259" s="278" t="str">
        <f t="shared" si="35"/>
        <v>TinSmelter not listed</v>
      </c>
    </row>
    <row r="260" spans="1:28" s="277" customFormat="1" ht="40.5">
      <c r="A260" s="216"/>
      <c r="B260" s="217" t="s">
        <v>1153</v>
      </c>
      <c r="C260" s="221" t="s">
        <v>1898</v>
      </c>
      <c r="D260" s="283" t="s">
        <v>15652</v>
      </c>
      <c r="E260" s="217" t="s">
        <v>916</v>
      </c>
      <c r="F260" s="217" t="s">
        <v>15653</v>
      </c>
      <c r="G260" s="217" t="s">
        <v>13577</v>
      </c>
      <c r="H260" s="218" t="s">
        <v>15654</v>
      </c>
      <c r="I260" s="219" t="s">
        <v>14250</v>
      </c>
      <c r="J260" s="219" t="s">
        <v>14250</v>
      </c>
      <c r="K260" s="273" t="s">
        <v>15655</v>
      </c>
      <c r="L260" s="273" t="s">
        <v>15656</v>
      </c>
      <c r="M260" s="273"/>
      <c r="N260" s="273"/>
      <c r="O260" s="273" t="s">
        <v>15521</v>
      </c>
      <c r="P260" s="220"/>
      <c r="Q260" s="274"/>
      <c r="R260" s="217" t="str">
        <f ca="1">IF(ISERROR($V260),"",OFFSET('Smelter Look-up'!$C$4,$V260-4,0)&amp;"")</f>
        <v/>
      </c>
      <c r="S260" s="225" t="str">
        <f t="shared" ca="1" si="33"/>
        <v>ZA</v>
      </c>
      <c r="T260" s="225" t="str">
        <f ca="1">IF(B260="","",IF(ISERROR(MATCH($J260,SorP!$B$1:$B$6230,0)),"",INDIRECT("'SorP'!$A$"&amp;MATCH($J260,SorP!$B$1:$B$6230,0))))</f>
        <v/>
      </c>
      <c r="U260" s="241"/>
      <c r="V260" s="275">
        <f>IF(C260="",NA(),MATCH($B260&amp;$C260,'Smelter Look-up'!$J:$J,0))</f>
        <v>293</v>
      </c>
      <c r="W260" s="276"/>
      <c r="X260" s="276">
        <f t="shared" si="34"/>
        <v>0</v>
      </c>
      <c r="Y260" s="276"/>
      <c r="Z260" s="276"/>
      <c r="AB260" s="278" t="str">
        <f t="shared" si="35"/>
        <v>GoldSmelter not listed</v>
      </c>
    </row>
    <row r="261" spans="1:28" s="277" customFormat="1" ht="54">
      <c r="A261" s="216"/>
      <c r="B261" s="217" t="s">
        <v>1154</v>
      </c>
      <c r="C261" s="221" t="s">
        <v>2254</v>
      </c>
      <c r="D261" s="283" t="s">
        <v>2254</v>
      </c>
      <c r="E261" s="217" t="s">
        <v>2576</v>
      </c>
      <c r="F261" s="217" t="s">
        <v>1820</v>
      </c>
      <c r="G261" s="217" t="s">
        <v>15513</v>
      </c>
      <c r="H261" s="218">
        <f ca="1">IF(ISERROR($V261),"",OFFSET('Smelter Look-up'!$G$4,$V261-4,0))</f>
        <v>0</v>
      </c>
      <c r="I261" s="219" t="str">
        <f ca="1">IF(ISERROR($V261),"",OFFSET('Smelter Look-up'!$H$4,$V261-4,0))</f>
        <v>Twinsburg</v>
      </c>
      <c r="J261" s="219" t="str">
        <f ca="1">IF(ISERROR($V261),"",OFFSET('Smelter Look-up'!$I$4,$V261-4,0))</f>
        <v>Ohio</v>
      </c>
      <c r="K261" s="273"/>
      <c r="L261" s="273"/>
      <c r="M261" s="273"/>
      <c r="N261" s="273"/>
      <c r="O261" s="273"/>
      <c r="P261" s="220"/>
      <c r="Q261" s="274"/>
      <c r="R261" s="217" t="str">
        <f ca="1">IF(ISERROR($V261),"",OFFSET('Smelter Look-up'!$C$4,$V261-4,0)&amp;"")</f>
        <v>Metallic Resources, Inc.</v>
      </c>
      <c r="S261" s="225" t="str">
        <f t="shared" ref="S261" ca="1" si="36">IF(B261="","",IF(ISERROR(MATCH($E261,CL,0)),"Unknown",INDIRECT("'C'!$A$"&amp;MATCH($E261,CL,0)+1)))</f>
        <v>US</v>
      </c>
      <c r="T261" s="225" t="str">
        <f ca="1">IF(B261="","",IF(ISERROR(MATCH($J261,SorP!$B$1:$B$6230,0)),"",INDIRECT("'SorP'!$A$"&amp;MATCH($J261,SorP!$B$1:$B$6230,0))))</f>
        <v>US-OH</v>
      </c>
      <c r="U261" s="241"/>
      <c r="V261" s="275">
        <f>IF(C261="",NA(),MATCH($B261&amp;$C261,'Smelter Look-up'!$J:$J,0))</f>
        <v>418</v>
      </c>
      <c r="W261" s="276"/>
      <c r="X261" s="276">
        <f t="shared" ref="X261" si="37">IF(AND(C261="Smelter not listed",OR(LEN(D261)=0,LEN(E261)=0)),1,0)</f>
        <v>0</v>
      </c>
      <c r="Y261" s="276"/>
      <c r="Z261" s="276"/>
      <c r="AB261" s="278" t="str">
        <f t="shared" ref="AB261" si="38">B261&amp;C261</f>
        <v>TinMetallic Resources, Inc.</v>
      </c>
    </row>
    <row r="262" spans="1:28" s="277" customFormat="1" ht="40.5">
      <c r="A262" s="216"/>
      <c r="B262" s="217" t="s">
        <v>1153</v>
      </c>
      <c r="C262" s="221" t="s">
        <v>1898</v>
      </c>
      <c r="D262" s="283" t="s">
        <v>15657</v>
      </c>
      <c r="E262" s="217" t="s">
        <v>2576</v>
      </c>
      <c r="F262" s="217" t="s">
        <v>14250</v>
      </c>
      <c r="G262" s="217" t="s">
        <v>14250</v>
      </c>
      <c r="H262" s="218" t="s">
        <v>15658</v>
      </c>
      <c r="I262" s="219" t="s">
        <v>14250</v>
      </c>
      <c r="J262" s="219" t="s">
        <v>14250</v>
      </c>
      <c r="K262" s="273" t="s">
        <v>15659</v>
      </c>
      <c r="L262" s="273" t="s">
        <v>15660</v>
      </c>
      <c r="M262" s="273"/>
      <c r="N262" s="273"/>
      <c r="O262" s="273" t="s">
        <v>15521</v>
      </c>
      <c r="P262" s="220"/>
      <c r="Q262" s="274"/>
      <c r="R262" s="217" t="str">
        <f ca="1">IF(ISERROR($V262),"",OFFSET('Smelter Look-up'!$C$4,$V262-4,0)&amp;"")</f>
        <v/>
      </c>
      <c r="S262" s="225" t="str">
        <f t="shared" ref="S262:S293" ca="1" si="39">IF(B262="","",IF(ISERROR(MATCH($E262,CL,0)),"Unknown",INDIRECT("'C'!$A$"&amp;MATCH($E262,CL,0)+1)))</f>
        <v>US</v>
      </c>
      <c r="T262" s="225" t="str">
        <f ca="1">IF(B262="","",IF(ISERROR(MATCH($J262,SorP!$B$1:$B$6230,0)),"",INDIRECT("'SorP'!$A$"&amp;MATCH($J262,SorP!$B$1:$B$6230,0))))</f>
        <v/>
      </c>
      <c r="U262" s="241"/>
      <c r="V262" s="275">
        <f>IF(C262="",NA(),MATCH($B262&amp;$C262,'Smelter Look-up'!$J:$J,0))</f>
        <v>293</v>
      </c>
      <c r="W262" s="276"/>
      <c r="X262" s="276">
        <f t="shared" ref="X262:X293" si="40">IF(AND(C262="Smelter not listed",OR(LEN(D262)=0,LEN(E262)=0)),1,0)</f>
        <v>0</v>
      </c>
      <c r="Y262" s="276"/>
      <c r="Z262" s="276"/>
      <c r="AB262" s="278" t="str">
        <f t="shared" ref="AB262:AB293" si="41">B262&amp;C262</f>
        <v>GoldSmelter not listed</v>
      </c>
    </row>
    <row r="263" spans="1:28" s="277" customFormat="1" ht="54">
      <c r="A263" s="216"/>
      <c r="B263" s="217" t="s">
        <v>1154</v>
      </c>
      <c r="C263" s="221" t="s">
        <v>13267</v>
      </c>
      <c r="D263" s="283" t="s">
        <v>13267</v>
      </c>
      <c r="E263" s="217" t="s">
        <v>1118</v>
      </c>
      <c r="F263" s="217" t="s">
        <v>1856</v>
      </c>
      <c r="G263" s="217" t="s">
        <v>15513</v>
      </c>
      <c r="H263" s="218">
        <f ca="1">IF(ISERROR($V263),"",OFFSET('Smelter Look-up'!$G$4,$V263-4,0))</f>
        <v>0</v>
      </c>
      <c r="I263" s="219" t="str">
        <f ca="1">IF(ISERROR($V263),"",OFFSET('Smelter Look-up'!$H$4,$V263-4,0))</f>
        <v>Beerse</v>
      </c>
      <c r="J263" s="219" t="str">
        <f ca="1">IF(ISERROR($V263),"",OFFSET('Smelter Look-up'!$I$4,$V263-4,0))</f>
        <v>Antwerpen</v>
      </c>
      <c r="K263" s="273"/>
      <c r="L263" s="273"/>
      <c r="M263" s="273"/>
      <c r="N263" s="273"/>
      <c r="O263" s="273"/>
      <c r="P263" s="220"/>
      <c r="Q263" s="274"/>
      <c r="R263" s="217" t="str">
        <f ca="1">IF(ISERROR($V263),"",OFFSET('Smelter Look-up'!$C$4,$V263-4,0)&amp;"")</f>
        <v>Metallo Belgium N.V.</v>
      </c>
      <c r="S263" s="225" t="str">
        <f t="shared" ca="1" si="39"/>
        <v>BE</v>
      </c>
      <c r="T263" s="225" t="str">
        <f ca="1">IF(B263="","",IF(ISERROR(MATCH($J263,SorP!$B$1:$B$6230,0)),"",INDIRECT("'SorP'!$A$"&amp;MATCH($J263,SorP!$B$1:$B$6230,0))))</f>
        <v>BE-VAN</v>
      </c>
      <c r="U263" s="241"/>
      <c r="V263" s="275">
        <f>IF(C263="",NA(),MATCH($B263&amp;$C263,'Smelter Look-up'!$J:$J,0))</f>
        <v>419</v>
      </c>
      <c r="W263" s="276"/>
      <c r="X263" s="276">
        <f t="shared" si="40"/>
        <v>0</v>
      </c>
      <c r="Y263" s="276"/>
      <c r="Z263" s="276"/>
      <c r="AB263" s="278" t="str">
        <f t="shared" si="41"/>
        <v>TinMetallo Belgium N.V.</v>
      </c>
    </row>
    <row r="264" spans="1:28" s="277" customFormat="1" ht="40.5">
      <c r="A264" s="216"/>
      <c r="B264" s="217" t="s">
        <v>1154</v>
      </c>
      <c r="C264" s="221" t="s">
        <v>13268</v>
      </c>
      <c r="D264" s="283" t="s">
        <v>13268</v>
      </c>
      <c r="E264" s="217" t="s">
        <v>1125</v>
      </c>
      <c r="F264" s="217" t="s">
        <v>1858</v>
      </c>
      <c r="G264" s="217" t="s">
        <v>15513</v>
      </c>
      <c r="H264" s="218">
        <f ca="1">IF(ISERROR($V264),"",OFFSET('Smelter Look-up'!$G$4,$V264-4,0))</f>
        <v>0</v>
      </c>
      <c r="I264" s="219" t="str">
        <f ca="1">IF(ISERROR($V264),"",OFFSET('Smelter Look-up'!$H$4,$V264-4,0))</f>
        <v>Berango</v>
      </c>
      <c r="J264" s="219" t="str">
        <f ca="1">IF(ISERROR($V264),"",OFFSET('Smelter Look-up'!$I$4,$V264-4,0))</f>
        <v>Bizkaia</v>
      </c>
      <c r="K264" s="273"/>
      <c r="L264" s="273"/>
      <c r="M264" s="273"/>
      <c r="N264" s="273"/>
      <c r="O264" s="273"/>
      <c r="P264" s="220"/>
      <c r="Q264" s="274"/>
      <c r="R264" s="217" t="str">
        <f ca="1">IF(ISERROR($V264),"",OFFSET('Smelter Look-up'!$C$4,$V264-4,0)&amp;"")</f>
        <v>Metallo Spain S.L.U.</v>
      </c>
      <c r="S264" s="225" t="str">
        <f t="shared" ca="1" si="39"/>
        <v>ES</v>
      </c>
      <c r="T264" s="225" t="str">
        <f ca="1">IF(B264="","",IF(ISERROR(MATCH($J264,SorP!$B$1:$B$6230,0)),"",INDIRECT("'SorP'!$A$"&amp;MATCH($J264,SorP!$B$1:$B$6230,0))))</f>
        <v>ES-BI</v>
      </c>
      <c r="U264" s="241"/>
      <c r="V264" s="275">
        <f>IF(C264="",NA(),MATCH($B264&amp;$C264,'Smelter Look-up'!$J:$J,0))</f>
        <v>420</v>
      </c>
      <c r="W264" s="276"/>
      <c r="X264" s="276">
        <f t="shared" si="40"/>
        <v>0</v>
      </c>
      <c r="Y264" s="276"/>
      <c r="Z264" s="276"/>
      <c r="AB264" s="278" t="str">
        <f t="shared" si="41"/>
        <v>TinMetallo Spain S.L.U.</v>
      </c>
    </row>
    <row r="265" spans="1:28" s="277" customFormat="1" ht="81">
      <c r="A265" s="216"/>
      <c r="B265" s="217" t="s">
        <v>1155</v>
      </c>
      <c r="C265" s="221" t="s">
        <v>2257</v>
      </c>
      <c r="D265" s="283" t="s">
        <v>2257</v>
      </c>
      <c r="E265" s="217" t="s">
        <v>1129</v>
      </c>
      <c r="F265" s="217" t="s">
        <v>772</v>
      </c>
      <c r="G265" s="217" t="s">
        <v>15513</v>
      </c>
      <c r="H265" s="218">
        <f ca="1">IF(ISERROR($V265),"",OFFSET('Smelter Look-up'!$G$4,$V265-4,0))</f>
        <v>0</v>
      </c>
      <c r="I265" s="219" t="str">
        <f ca="1">IF(ISERROR($V265),"",OFFSET('Smelter Look-up'!$H$4,$V265-4,0))</f>
        <v>District Raigad</v>
      </c>
      <c r="J265" s="219" t="str">
        <f ca="1">IF(ISERROR($V265),"",OFFSET('Smelter Look-up'!$I$4,$V265-4,0))</f>
        <v>Maharashtra</v>
      </c>
      <c r="K265" s="273"/>
      <c r="L265" s="273"/>
      <c r="M265" s="273"/>
      <c r="N265" s="273"/>
      <c r="O265" s="273"/>
      <c r="P265" s="220"/>
      <c r="Q265" s="274"/>
      <c r="R265" s="217" t="str">
        <f ca="1">IF(ISERROR($V265),"",OFFSET('Smelter Look-up'!$C$4,$V265-4,0)&amp;"")</f>
        <v>Metallurgical Products India Pvt., Ltd.</v>
      </c>
      <c r="S265" s="225" t="str">
        <f t="shared" ca="1" si="39"/>
        <v>IN</v>
      </c>
      <c r="T265" s="225" t="str">
        <f ca="1">IF(B265="","",IF(ISERROR(MATCH($J265,SorP!$B$1:$B$6230,0)),"",INDIRECT("'SorP'!$A$"&amp;MATCH($J265,SorP!$B$1:$B$6230,0))))</f>
        <v>IN-MH</v>
      </c>
      <c r="U265" s="241"/>
      <c r="V265" s="275">
        <f>IF(C265="",NA(),MATCH($B265&amp;$C265,'Smelter Look-up'!$J:$J,0))</f>
        <v>323</v>
      </c>
      <c r="W265" s="276"/>
      <c r="X265" s="276">
        <f t="shared" si="40"/>
        <v>0</v>
      </c>
      <c r="Y265" s="276"/>
      <c r="Z265" s="276"/>
      <c r="AB265" s="278" t="str">
        <f t="shared" si="41"/>
        <v>TantalumMetallurgical Products India Pvt., Ltd.</v>
      </c>
    </row>
    <row r="266" spans="1:28" s="277" customFormat="1" ht="40.5">
      <c r="A266" s="216"/>
      <c r="B266" s="217" t="s">
        <v>1153</v>
      </c>
      <c r="C266" s="221" t="s">
        <v>1898</v>
      </c>
      <c r="D266" s="283" t="s">
        <v>15661</v>
      </c>
      <c r="E266" s="217" t="s">
        <v>13363</v>
      </c>
      <c r="F266" s="217" t="s">
        <v>14250</v>
      </c>
      <c r="G266" s="217" t="s">
        <v>14250</v>
      </c>
      <c r="H266" s="218" t="s">
        <v>15514</v>
      </c>
      <c r="I266" s="219" t="s">
        <v>1651</v>
      </c>
      <c r="J266" s="219" t="s">
        <v>15604</v>
      </c>
      <c r="K266" s="273"/>
      <c r="L266" s="273"/>
      <c r="M266" s="273"/>
      <c r="N266" s="273"/>
      <c r="O266" s="273"/>
      <c r="P266" s="220"/>
      <c r="Q266" s="274"/>
      <c r="R266" s="217" t="str">
        <f ca="1">IF(ISERROR($V266),"",OFFSET('Smelter Look-up'!$C$4,$V266-4,0)&amp;"")</f>
        <v/>
      </c>
      <c r="S266" s="225" t="str">
        <f t="shared" ca="1" si="39"/>
        <v>HK</v>
      </c>
      <c r="T266" s="225" t="str">
        <f ca="1">IF(B266="","",IF(ISERROR(MATCH($J266,SorP!$B$1:$B$6230,0)),"",INDIRECT("'SorP'!$A$"&amp;MATCH($J266,SorP!$B$1:$B$6230,0))))</f>
        <v/>
      </c>
      <c r="U266" s="241"/>
      <c r="V266" s="275">
        <f>IF(C266="",NA(),MATCH($B266&amp;$C266,'Smelter Look-up'!$J:$J,0))</f>
        <v>293</v>
      </c>
      <c r="W266" s="276"/>
      <c r="X266" s="276">
        <f t="shared" si="40"/>
        <v>0</v>
      </c>
      <c r="Y266" s="276"/>
      <c r="Z266" s="276"/>
      <c r="AB266" s="278" t="str">
        <f t="shared" si="41"/>
        <v>GoldSmelter not listed</v>
      </c>
    </row>
    <row r="267" spans="1:28" s="277" customFormat="1" ht="94.5">
      <c r="A267" s="216"/>
      <c r="B267" s="217" t="s">
        <v>1153</v>
      </c>
      <c r="C267" s="221" t="s">
        <v>2255</v>
      </c>
      <c r="D267" s="283" t="s">
        <v>2255</v>
      </c>
      <c r="E267" s="217" t="s">
        <v>1123</v>
      </c>
      <c r="F267" s="217" t="s">
        <v>721</v>
      </c>
      <c r="G267" s="217" t="s">
        <v>15513</v>
      </c>
      <c r="H267" s="218">
        <f ca="1">IF(ISERROR($V267),"",OFFSET('Smelter Look-up'!$G$4,$V267-4,0))</f>
        <v>0</v>
      </c>
      <c r="I267" s="219" t="str">
        <f ca="1">IF(ISERROR($V267),"",OFFSET('Smelter Look-up'!$H$4,$V267-4,0))</f>
        <v>Kwai Chung</v>
      </c>
      <c r="J267" s="219" t="str">
        <f ca="1">IF(ISERROR($V267),"",OFFSET('Smelter Look-up'!$I$4,$V267-4,0))</f>
        <v>Hong Kong SAR</v>
      </c>
      <c r="K267" s="273"/>
      <c r="L267" s="273"/>
      <c r="M267" s="273"/>
      <c r="N267" s="273"/>
      <c r="O267" s="273"/>
      <c r="P267" s="220"/>
      <c r="Q267" s="274"/>
      <c r="R267" s="217" t="str">
        <f ca="1">IF(ISERROR($V267),"",OFFSET('Smelter Look-up'!$C$4,$V267-4,0)&amp;"")</f>
        <v>Metalor Technologies (Hong Kong) Ltd.</v>
      </c>
      <c r="S267" s="225" t="str">
        <f t="shared" ca="1" si="39"/>
        <v>CN</v>
      </c>
      <c r="T267" s="225" t="str">
        <f ca="1">IF(B267="","",IF(ISERROR(MATCH($J267,SorP!$B$1:$B$6230,0)),"",INDIRECT("'SorP'!$A$"&amp;MATCH($J267,SorP!$B$1:$B$6230,0))))</f>
        <v>CN-HK</v>
      </c>
      <c r="U267" s="241"/>
      <c r="V267" s="275">
        <f>IF(C267="",NA(),MATCH($B267&amp;$C267,'Smelter Look-up'!$J:$J,0))</f>
        <v>155</v>
      </c>
      <c r="W267" s="276"/>
      <c r="X267" s="276">
        <f t="shared" si="40"/>
        <v>0</v>
      </c>
      <c r="Y267" s="276"/>
      <c r="Z267" s="276"/>
      <c r="AB267" s="278" t="str">
        <f t="shared" si="41"/>
        <v>GoldMetalor Technologies (Hong Kong) Ltd.</v>
      </c>
    </row>
    <row r="268" spans="1:28" s="277" customFormat="1" ht="94.5">
      <c r="A268" s="216"/>
      <c r="B268" s="217" t="s">
        <v>1153</v>
      </c>
      <c r="C268" s="221" t="s">
        <v>2256</v>
      </c>
      <c r="D268" s="283" t="s">
        <v>2256</v>
      </c>
      <c r="E268" s="217" t="s">
        <v>909</v>
      </c>
      <c r="F268" s="217" t="s">
        <v>722</v>
      </c>
      <c r="G268" s="217" t="s">
        <v>15513</v>
      </c>
      <c r="H268" s="218">
        <f ca="1">IF(ISERROR($V268),"",OFFSET('Smelter Look-up'!$G$4,$V268-4,0))</f>
        <v>0</v>
      </c>
      <c r="I268" s="219" t="str">
        <f ca="1">IF(ISERROR($V268),"",OFFSET('Smelter Look-up'!$H$4,$V268-4,0))</f>
        <v>Singapore</v>
      </c>
      <c r="J268" s="219" t="str">
        <f ca="1">IF(ISERROR($V268),"",OFFSET('Smelter Look-up'!$I$4,$V268-4,0))</f>
        <v>South West</v>
      </c>
      <c r="K268" s="273"/>
      <c r="L268" s="273"/>
      <c r="M268" s="273"/>
      <c r="N268" s="273"/>
      <c r="O268" s="273"/>
      <c r="P268" s="220"/>
      <c r="Q268" s="274"/>
      <c r="R268" s="217" t="str">
        <f ca="1">IF(ISERROR($V268),"",OFFSET('Smelter Look-up'!$C$4,$V268-4,0)&amp;"")</f>
        <v>Metalor Technologies (Singapore) Pte., Ltd.</v>
      </c>
      <c r="S268" s="225" t="str">
        <f t="shared" ca="1" si="39"/>
        <v>SG</v>
      </c>
      <c r="T268" s="225" t="str">
        <f ca="1">IF(B268="","",IF(ISERROR(MATCH($J268,SorP!$B$1:$B$6230,0)),"",INDIRECT("'SorP'!$A$"&amp;MATCH($J268,SorP!$B$1:$B$6230,0))))</f>
        <v>SG-05</v>
      </c>
      <c r="U268" s="241"/>
      <c r="V268" s="275">
        <f>IF(C268="",NA(),MATCH($B268&amp;$C268,'Smelter Look-up'!$J:$J,0))</f>
        <v>156</v>
      </c>
      <c r="W268" s="276"/>
      <c r="X268" s="276">
        <f t="shared" si="40"/>
        <v>0</v>
      </c>
      <c r="Y268" s="276"/>
      <c r="Z268" s="276"/>
      <c r="AB268" s="278" t="str">
        <f t="shared" si="41"/>
        <v>GoldMetalor Technologies (Singapore) Pte., Ltd.</v>
      </c>
    </row>
    <row r="269" spans="1:28" s="277" customFormat="1" ht="81">
      <c r="A269" s="216"/>
      <c r="B269" s="217" t="s">
        <v>1153</v>
      </c>
      <c r="C269" s="221" t="s">
        <v>1649</v>
      </c>
      <c r="D269" s="283" t="s">
        <v>1649</v>
      </c>
      <c r="E269" s="217" t="s">
        <v>1123</v>
      </c>
      <c r="F269" s="217" t="s">
        <v>1650</v>
      </c>
      <c r="G269" s="217" t="s">
        <v>15513</v>
      </c>
      <c r="H269" s="218">
        <f ca="1">IF(ISERROR($V269),"",OFFSET('Smelter Look-up'!$G$4,$V269-4,0))</f>
        <v>0</v>
      </c>
      <c r="I269" s="219" t="str">
        <f ca="1">IF(ISERROR($V269),"",OFFSET('Smelter Look-up'!$H$4,$V269-4,0))</f>
        <v>Suzhou</v>
      </c>
      <c r="J269" s="219" t="str">
        <f ca="1">IF(ISERROR($V269),"",OFFSET('Smelter Look-up'!$I$4,$V269-4,0))</f>
        <v>Jiangsu Sheng</v>
      </c>
      <c r="K269" s="273"/>
      <c r="L269" s="273"/>
      <c r="M269" s="273"/>
      <c r="N269" s="273"/>
      <c r="O269" s="273"/>
      <c r="P269" s="220"/>
      <c r="Q269" s="274"/>
      <c r="R269" s="217" t="str">
        <f ca="1">IF(ISERROR($V269),"",OFFSET('Smelter Look-up'!$C$4,$V269-4,0)&amp;"")</f>
        <v>Metalor Technologies (Suzhou) Ltd.</v>
      </c>
      <c r="S269" s="225" t="str">
        <f t="shared" ca="1" si="39"/>
        <v>CN</v>
      </c>
      <c r="T269" s="225" t="str">
        <f ca="1">IF(B269="","",IF(ISERROR(MATCH($J269,SorP!$B$1:$B$6230,0)),"",INDIRECT("'SorP'!$A$"&amp;MATCH($J269,SorP!$B$1:$B$6230,0))))</f>
        <v>CN-JS</v>
      </c>
      <c r="U269" s="241"/>
      <c r="V269" s="275">
        <f>IF(C269="",NA(),MATCH($B269&amp;$C269,'Smelter Look-up'!$J:$J,0))</f>
        <v>157</v>
      </c>
      <c r="W269" s="276"/>
      <c r="X269" s="276">
        <f t="shared" si="40"/>
        <v>0</v>
      </c>
      <c r="Y269" s="276"/>
      <c r="Z269" s="276"/>
      <c r="AB269" s="278" t="str">
        <f t="shared" si="41"/>
        <v>GoldMetalor Technologies (Suzhou) Ltd.</v>
      </c>
    </row>
    <row r="270" spans="1:28" s="277" customFormat="1" ht="54">
      <c r="A270" s="216"/>
      <c r="B270" s="217" t="s">
        <v>1153</v>
      </c>
      <c r="C270" s="221" t="s">
        <v>2431</v>
      </c>
      <c r="D270" s="283" t="s">
        <v>2431</v>
      </c>
      <c r="E270" s="217" t="s">
        <v>1121</v>
      </c>
      <c r="F270" s="217" t="s">
        <v>723</v>
      </c>
      <c r="G270" s="217" t="s">
        <v>15513</v>
      </c>
      <c r="H270" s="218">
        <f ca="1">IF(ISERROR($V270),"",OFFSET('Smelter Look-up'!$G$4,$V270-4,0))</f>
        <v>0</v>
      </c>
      <c r="I270" s="219" t="str">
        <f ca="1">IF(ISERROR($V270),"",OFFSET('Smelter Look-up'!$H$4,$V270-4,0))</f>
        <v>Marin</v>
      </c>
      <c r="J270" s="219" t="str">
        <f ca="1">IF(ISERROR($V270),"",OFFSET('Smelter Look-up'!$I$4,$V270-4,0))</f>
        <v>Neuchâtel</v>
      </c>
      <c r="K270" s="273"/>
      <c r="L270" s="273"/>
      <c r="M270" s="273"/>
      <c r="N270" s="273"/>
      <c r="O270" s="273"/>
      <c r="P270" s="220"/>
      <c r="Q270" s="274"/>
      <c r="R270" s="217" t="str">
        <f ca="1">IF(ISERROR($V270),"",OFFSET('Smelter Look-up'!$C$4,$V270-4,0)&amp;"")</f>
        <v>Metalor Technologies S.A.</v>
      </c>
      <c r="S270" s="225" t="str">
        <f t="shared" ca="1" si="39"/>
        <v>CH</v>
      </c>
      <c r="T270" s="225" t="str">
        <f ca="1">IF(B270="","",IF(ISERROR(MATCH($J270,SorP!$B$1:$B$6230,0)),"",INDIRECT("'SorP'!$A$"&amp;MATCH($J270,SorP!$B$1:$B$6230,0))))</f>
        <v>CH-NE</v>
      </c>
      <c r="U270" s="241"/>
      <c r="V270" s="275">
        <f>IF(C270="",NA(),MATCH($B270&amp;$C270,'Smelter Look-up'!$J:$J,0))</f>
        <v>158</v>
      </c>
      <c r="W270" s="276"/>
      <c r="X270" s="276">
        <f t="shared" si="40"/>
        <v>0</v>
      </c>
      <c r="Y270" s="276"/>
      <c r="Z270" s="276"/>
      <c r="AB270" s="278" t="str">
        <f t="shared" si="41"/>
        <v>GoldMetalor Technologies S.A.</v>
      </c>
    </row>
    <row r="271" spans="1:28" s="277" customFormat="1" ht="67.5">
      <c r="A271" s="216"/>
      <c r="B271" s="217" t="s">
        <v>1153</v>
      </c>
      <c r="C271" s="221" t="s">
        <v>1252</v>
      </c>
      <c r="D271" s="283" t="s">
        <v>1252</v>
      </c>
      <c r="E271" s="217" t="s">
        <v>2576</v>
      </c>
      <c r="F271" s="217" t="s">
        <v>724</v>
      </c>
      <c r="G271" s="217" t="s">
        <v>15513</v>
      </c>
      <c r="H271" s="218">
        <f ca="1">IF(ISERROR($V271),"",OFFSET('Smelter Look-up'!$G$4,$V271-4,0))</f>
        <v>0</v>
      </c>
      <c r="I271" s="219" t="str">
        <f ca="1">IF(ISERROR($V271),"",OFFSET('Smelter Look-up'!$H$4,$V271-4,0))</f>
        <v>North Attleboro</v>
      </c>
      <c r="J271" s="219" t="str">
        <f ca="1">IF(ISERROR($V271),"",OFFSET('Smelter Look-up'!$I$4,$V271-4,0))</f>
        <v>Massachusetts</v>
      </c>
      <c r="K271" s="273"/>
      <c r="L271" s="273"/>
      <c r="M271" s="273"/>
      <c r="N271" s="273"/>
      <c r="O271" s="273"/>
      <c r="P271" s="220"/>
      <c r="Q271" s="274"/>
      <c r="R271" s="217" t="str">
        <f ca="1">IF(ISERROR($V271),"",OFFSET('Smelter Look-up'!$C$4,$V271-4,0)&amp;"")</f>
        <v>Metalor USA Refining Corporation</v>
      </c>
      <c r="S271" s="225" t="str">
        <f t="shared" ca="1" si="39"/>
        <v>US</v>
      </c>
      <c r="T271" s="225" t="str">
        <f ca="1">IF(B271="","",IF(ISERROR(MATCH($J271,SorP!$B$1:$B$6230,0)),"",INDIRECT("'SorP'!$A$"&amp;MATCH($J271,SorP!$B$1:$B$6230,0))))</f>
        <v>US-MA</v>
      </c>
      <c r="U271" s="241"/>
      <c r="V271" s="275">
        <f>IF(C271="",NA(),MATCH($B271&amp;$C271,'Smelter Look-up'!$J:$J,0))</f>
        <v>159</v>
      </c>
      <c r="W271" s="276"/>
      <c r="X271" s="276">
        <f t="shared" si="40"/>
        <v>0</v>
      </c>
      <c r="Y271" s="276"/>
      <c r="Z271" s="276"/>
      <c r="AB271" s="278" t="str">
        <f t="shared" si="41"/>
        <v>GoldMetalor USA Refining Corporation</v>
      </c>
    </row>
    <row r="272" spans="1:28" s="277" customFormat="1" ht="81">
      <c r="A272" s="216"/>
      <c r="B272" s="217" t="s">
        <v>1153</v>
      </c>
      <c r="C272" s="221" t="s">
        <v>12756</v>
      </c>
      <c r="D272" s="283" t="s">
        <v>12756</v>
      </c>
      <c r="E272" s="217" t="s">
        <v>1136</v>
      </c>
      <c r="F272" s="217" t="s">
        <v>725</v>
      </c>
      <c r="G272" s="217" t="s">
        <v>15513</v>
      </c>
      <c r="H272" s="218">
        <f ca="1">IF(ISERROR($V272),"",OFFSET('Smelter Look-up'!$G$4,$V272-4,0))</f>
        <v>0</v>
      </c>
      <c r="I272" s="219" t="str">
        <f ca="1">IF(ISERROR($V272),"",OFFSET('Smelter Look-up'!$H$4,$V272-4,0))</f>
        <v>Torreon</v>
      </c>
      <c r="J272" s="219" t="str">
        <f ca="1">IF(ISERROR($V272),"",OFFSET('Smelter Look-up'!$I$4,$V272-4,0))</f>
        <v>Coahuila de Zaragoza</v>
      </c>
      <c r="K272" s="273"/>
      <c r="L272" s="273"/>
      <c r="M272" s="273"/>
      <c r="N272" s="273"/>
      <c r="O272" s="273"/>
      <c r="P272" s="220"/>
      <c r="Q272" s="274"/>
      <c r="R272" s="217" t="str">
        <f ca="1">IF(ISERROR($V272),"",OFFSET('Smelter Look-up'!$C$4,$V272-4,0)&amp;"")</f>
        <v>Metalurgica Met-Mex Penoles S.A. De C.V.</v>
      </c>
      <c r="S272" s="225" t="str">
        <f t="shared" ca="1" si="39"/>
        <v>MX</v>
      </c>
      <c r="T272" s="225" t="str">
        <f ca="1">IF(B272="","",IF(ISERROR(MATCH($J272,SorP!$B$1:$B$6230,0)),"",INDIRECT("'SorP'!$A$"&amp;MATCH($J272,SorP!$B$1:$B$6230,0))))</f>
        <v>MX-COA</v>
      </c>
      <c r="U272" s="241"/>
      <c r="V272" s="275">
        <f>IF(C272="",NA(),MATCH($B272&amp;$C272,'Smelter Look-up'!$J:$J,0))</f>
        <v>160</v>
      </c>
      <c r="W272" s="276"/>
      <c r="X272" s="276">
        <f t="shared" si="40"/>
        <v>0</v>
      </c>
      <c r="Y272" s="276"/>
      <c r="Z272" s="276"/>
      <c r="AB272" s="278" t="str">
        <f t="shared" si="41"/>
        <v>GoldMetalurgica Met-Mex Penoles S.A. De C.V.</v>
      </c>
    </row>
    <row r="273" spans="1:28" s="277" customFormat="1" ht="40.5">
      <c r="A273" s="216"/>
      <c r="B273" s="217" t="s">
        <v>1154</v>
      </c>
      <c r="C273" s="221" t="s">
        <v>1898</v>
      </c>
      <c r="D273" s="283" t="s">
        <v>15662</v>
      </c>
      <c r="E273" s="217" t="s">
        <v>2575</v>
      </c>
      <c r="F273" s="217" t="s">
        <v>14250</v>
      </c>
      <c r="G273" s="217" t="s">
        <v>14250</v>
      </c>
      <c r="H273" s="218">
        <f ca="1">IF(ISERROR($V273),"",OFFSET('Smelter Look-up'!$G$4,$V273-4,0))</f>
        <v>0</v>
      </c>
      <c r="I273" s="219">
        <f ca="1">IF(ISERROR($V273),"",OFFSET('Smelter Look-up'!$H$4,$V273-4,0))</f>
        <v>0</v>
      </c>
      <c r="J273" s="219">
        <f ca="1">IF(ISERROR($V273),"",OFFSET('Smelter Look-up'!$I$4,$V273-4,0))</f>
        <v>0</v>
      </c>
      <c r="K273" s="273"/>
      <c r="L273" s="273"/>
      <c r="M273" s="273"/>
      <c r="N273" s="273"/>
      <c r="O273" s="273"/>
      <c r="P273" s="220"/>
      <c r="Q273" s="274"/>
      <c r="R273" s="217" t="str">
        <f ca="1">IF(ISERROR($V273),"",OFFSET('Smelter Look-up'!$C$4,$V273-4,0)&amp;"")</f>
        <v/>
      </c>
      <c r="S273" s="225" t="str">
        <f t="shared" ca="1" si="39"/>
        <v>TW</v>
      </c>
      <c r="T273" s="225" t="str">
        <f ca="1">IF(B273="","",IF(ISERROR(MATCH($J273,SorP!$B$1:$B$6230,0)),"",INDIRECT("'SorP'!$A$"&amp;MATCH($J273,SorP!$B$1:$B$6230,0))))</f>
        <v/>
      </c>
      <c r="U273" s="241"/>
      <c r="V273" s="275">
        <f>IF(C273="",NA(),MATCH($B273&amp;$C273,'Smelter Look-up'!$J:$J,0))</f>
        <v>484</v>
      </c>
      <c r="W273" s="276"/>
      <c r="X273" s="276">
        <f t="shared" si="40"/>
        <v>0</v>
      </c>
      <c r="Y273" s="276"/>
      <c r="Z273" s="276"/>
      <c r="AB273" s="278" t="str">
        <f t="shared" si="41"/>
        <v>TinSmelter not listed</v>
      </c>
    </row>
    <row r="274" spans="1:28" s="277" customFormat="1" ht="67.5">
      <c r="A274" s="216"/>
      <c r="B274" s="217" t="s">
        <v>1155</v>
      </c>
      <c r="C274" s="221" t="s">
        <v>12757</v>
      </c>
      <c r="D274" s="283" t="s">
        <v>12757</v>
      </c>
      <c r="E274" s="217" t="s">
        <v>1119</v>
      </c>
      <c r="F274" s="217" t="s">
        <v>773</v>
      </c>
      <c r="G274" s="217" t="s">
        <v>15513</v>
      </c>
      <c r="H274" s="218">
        <f ca="1">IF(ISERROR($V274),"",OFFSET('Smelter Look-up'!$G$4,$V274-4,0))</f>
        <v>0</v>
      </c>
      <c r="I274" s="219" t="str">
        <f ca="1">IF(ISERROR($V274),"",OFFSET('Smelter Look-up'!$H$4,$V274-4,0))</f>
        <v>Presidente Figueiredo</v>
      </c>
      <c r="J274" s="219" t="str">
        <f ca="1">IF(ISERROR($V274),"",OFFSET('Smelter Look-up'!$I$4,$V274-4,0))</f>
        <v>Amazonas</v>
      </c>
      <c r="K274" s="273"/>
      <c r="L274" s="273"/>
      <c r="M274" s="273"/>
      <c r="N274" s="273"/>
      <c r="O274" s="273"/>
      <c r="P274" s="220"/>
      <c r="Q274" s="274"/>
      <c r="R274" s="217" t="str">
        <f ca="1">IF(ISERROR($V274),"",OFFSET('Smelter Look-up'!$C$4,$V274-4,0)&amp;"")</f>
        <v>Mineracao Taboca S.A.</v>
      </c>
      <c r="S274" s="225" t="str">
        <f t="shared" ca="1" si="39"/>
        <v>BR</v>
      </c>
      <c r="T274" s="225" t="str">
        <f ca="1">IF(B274="","",IF(ISERROR(MATCH($J274,SorP!$B$1:$B$6230,0)),"",INDIRECT("'SorP'!$A$"&amp;MATCH($J274,SorP!$B$1:$B$6230,0))))</f>
        <v>BR-AM</v>
      </c>
      <c r="U274" s="241"/>
      <c r="V274" s="275">
        <f>IF(C274="",NA(),MATCH($B274&amp;$C274,'Smelter Look-up'!$J:$J,0))</f>
        <v>324</v>
      </c>
      <c r="W274" s="276"/>
      <c r="X274" s="276">
        <f t="shared" si="40"/>
        <v>0</v>
      </c>
      <c r="Y274" s="276"/>
      <c r="Z274" s="276"/>
      <c r="AB274" s="278" t="str">
        <f t="shared" si="41"/>
        <v>TantalumMineracao Taboca S.A.</v>
      </c>
    </row>
    <row r="275" spans="1:28" s="277" customFormat="1" ht="54">
      <c r="A275" s="216"/>
      <c r="B275" s="217" t="s">
        <v>1154</v>
      </c>
      <c r="C275" s="221" t="s">
        <v>12757</v>
      </c>
      <c r="D275" s="283" t="s">
        <v>12757</v>
      </c>
      <c r="E275" s="217" t="s">
        <v>1119</v>
      </c>
      <c r="F275" s="217" t="s">
        <v>793</v>
      </c>
      <c r="G275" s="217" t="s">
        <v>15513</v>
      </c>
      <c r="H275" s="218">
        <f ca="1">IF(ISERROR($V275),"",OFFSET('Smelter Look-up'!$G$4,$V275-4,0))</f>
        <v>0</v>
      </c>
      <c r="I275" s="219" t="str">
        <f ca="1">IF(ISERROR($V275),"",OFFSET('Smelter Look-up'!$H$4,$V275-4,0))</f>
        <v>Bairro Guarapiranga</v>
      </c>
      <c r="J275" s="219" t="str">
        <f ca="1">IF(ISERROR($V275),"",OFFSET('Smelter Look-up'!$I$4,$V275-4,0))</f>
        <v>São Paulo</v>
      </c>
      <c r="K275" s="273"/>
      <c r="L275" s="273"/>
      <c r="M275" s="273"/>
      <c r="N275" s="273"/>
      <c r="O275" s="273"/>
      <c r="P275" s="220"/>
      <c r="Q275" s="274"/>
      <c r="R275" s="217" t="str">
        <f ca="1">IF(ISERROR($V275),"",OFFSET('Smelter Look-up'!$C$4,$V275-4,0)&amp;"")</f>
        <v>Mineracao Taboca S.A.</v>
      </c>
      <c r="S275" s="225" t="str">
        <f t="shared" ca="1" si="39"/>
        <v>BR</v>
      </c>
      <c r="T275" s="225" t="str">
        <f ca="1">IF(B275="","",IF(ISERROR(MATCH($J275,SorP!$B$1:$B$6230,0)),"",INDIRECT("'SorP'!$A$"&amp;MATCH($J275,SorP!$B$1:$B$6230,0))))</f>
        <v>BR-SP</v>
      </c>
      <c r="U275" s="241"/>
      <c r="V275" s="275">
        <f>IF(C275="",NA(),MATCH($B275&amp;$C275,'Smelter Look-up'!$J:$J,0))</f>
        <v>421</v>
      </c>
      <c r="W275" s="276"/>
      <c r="X275" s="276">
        <f t="shared" si="40"/>
        <v>0</v>
      </c>
      <c r="Y275" s="276"/>
      <c r="Z275" s="276"/>
      <c r="AB275" s="278" t="str">
        <f t="shared" si="41"/>
        <v>TinMineracao Taboca S.A.</v>
      </c>
    </row>
    <row r="276" spans="1:28" s="277" customFormat="1" ht="40.5">
      <c r="A276" s="216"/>
      <c r="B276" s="217" t="s">
        <v>1154</v>
      </c>
      <c r="C276" s="221" t="s">
        <v>1898</v>
      </c>
      <c r="D276" s="283" t="s">
        <v>15663</v>
      </c>
      <c r="E276" s="217" t="s">
        <v>1123</v>
      </c>
      <c r="F276" s="217" t="s">
        <v>14250</v>
      </c>
      <c r="G276" s="217" t="s">
        <v>14250</v>
      </c>
      <c r="H276" s="218">
        <f ca="1">IF(ISERROR($V276),"",OFFSET('Smelter Look-up'!$G$4,$V276-4,0))</f>
        <v>0</v>
      </c>
      <c r="I276" s="219">
        <f ca="1">IF(ISERROR($V276),"",OFFSET('Smelter Look-up'!$H$4,$V276-4,0))</f>
        <v>0</v>
      </c>
      <c r="J276" s="219">
        <f ca="1">IF(ISERROR($V276),"",OFFSET('Smelter Look-up'!$I$4,$V276-4,0))</f>
        <v>0</v>
      </c>
      <c r="K276" s="273"/>
      <c r="L276" s="273"/>
      <c r="M276" s="273"/>
      <c r="N276" s="273"/>
      <c r="O276" s="273"/>
      <c r="P276" s="220"/>
      <c r="Q276" s="274"/>
      <c r="R276" s="217" t="str">
        <f ca="1">IF(ISERROR($V276),"",OFFSET('Smelter Look-up'!$C$4,$V276-4,0)&amp;"")</f>
        <v/>
      </c>
      <c r="S276" s="225" t="str">
        <f t="shared" ca="1" si="39"/>
        <v>CN</v>
      </c>
      <c r="T276" s="225" t="str">
        <f ca="1">IF(B276="","",IF(ISERROR(MATCH($J276,SorP!$B$1:$B$6230,0)),"",INDIRECT("'SorP'!$A$"&amp;MATCH($J276,SorP!$B$1:$B$6230,0))))</f>
        <v/>
      </c>
      <c r="U276" s="241"/>
      <c r="V276" s="275">
        <f>IF(C276="",NA(),MATCH($B276&amp;$C276,'Smelter Look-up'!$J:$J,0))</f>
        <v>484</v>
      </c>
      <c r="W276" s="276"/>
      <c r="X276" s="276">
        <f t="shared" si="40"/>
        <v>0</v>
      </c>
      <c r="Y276" s="276"/>
      <c r="Z276" s="276"/>
      <c r="AB276" s="278" t="str">
        <f t="shared" si="41"/>
        <v>TinSmelter not listed</v>
      </c>
    </row>
    <row r="277" spans="1:28" s="277" customFormat="1" ht="27">
      <c r="A277" s="216"/>
      <c r="B277" s="217" t="s">
        <v>1154</v>
      </c>
      <c r="C277" s="221" t="s">
        <v>1057</v>
      </c>
      <c r="D277" s="283" t="s">
        <v>1057</v>
      </c>
      <c r="E277" s="217" t="s">
        <v>903</v>
      </c>
      <c r="F277" s="217" t="s">
        <v>794</v>
      </c>
      <c r="G277" s="217" t="s">
        <v>15513</v>
      </c>
      <c r="H277" s="218">
        <f ca="1">IF(ISERROR($V277),"",OFFSET('Smelter Look-up'!$G$4,$V277-4,0))</f>
        <v>0</v>
      </c>
      <c r="I277" s="219" t="str">
        <f ca="1">IF(ISERROR($V277),"",OFFSET('Smelter Look-up'!$H$4,$V277-4,0))</f>
        <v>Paracas</v>
      </c>
      <c r="J277" s="219" t="str">
        <f ca="1">IF(ISERROR($V277),"",OFFSET('Smelter Look-up'!$I$4,$V277-4,0))</f>
        <v>Ika</v>
      </c>
      <c r="K277" s="273"/>
      <c r="L277" s="273"/>
      <c r="M277" s="273"/>
      <c r="N277" s="273"/>
      <c r="O277" s="273"/>
      <c r="P277" s="220"/>
      <c r="Q277" s="274"/>
      <c r="R277" s="217" t="str">
        <f ca="1">IF(ISERROR($V277),"",OFFSET('Smelter Look-up'!$C$4,$V277-4,0)&amp;"")</f>
        <v>Minsur</v>
      </c>
      <c r="S277" s="225" t="str">
        <f t="shared" ca="1" si="39"/>
        <v>PE</v>
      </c>
      <c r="T277" s="225" t="str">
        <f ca="1">IF(B277="","",IF(ISERROR(MATCH($J277,SorP!$B$1:$B$6230,0)),"",INDIRECT("'SorP'!$A$"&amp;MATCH($J277,SorP!$B$1:$B$6230,0))))</f>
        <v>PE-ICA</v>
      </c>
      <c r="U277" s="241"/>
      <c r="V277" s="275">
        <f>IF(C277="",NA(),MATCH($B277&amp;$C277,'Smelter Look-up'!$J:$J,0))</f>
        <v>424</v>
      </c>
      <c r="W277" s="276"/>
      <c r="X277" s="276">
        <f t="shared" si="40"/>
        <v>0</v>
      </c>
      <c r="Y277" s="276"/>
      <c r="Z277" s="276"/>
      <c r="AB277" s="278" t="str">
        <f t="shared" si="41"/>
        <v>TinMinsur</v>
      </c>
    </row>
    <row r="278" spans="1:28" s="277" customFormat="1" ht="81">
      <c r="A278" s="216"/>
      <c r="B278" s="217" t="s">
        <v>1153</v>
      </c>
      <c r="C278" s="221" t="s">
        <v>1187</v>
      </c>
      <c r="D278" s="283" t="s">
        <v>1187</v>
      </c>
      <c r="E278" s="217" t="s">
        <v>1131</v>
      </c>
      <c r="F278" s="217" t="s">
        <v>726</v>
      </c>
      <c r="G278" s="217" t="s">
        <v>15513</v>
      </c>
      <c r="H278" s="218">
        <f ca="1">IF(ISERROR($V278),"",OFFSET('Smelter Look-up'!$G$4,$V278-4,0))</f>
        <v>0</v>
      </c>
      <c r="I278" s="219" t="str">
        <f ca="1">IF(ISERROR($V278),"",OFFSET('Smelter Look-up'!$H$4,$V278-4,0))</f>
        <v>Naoshima</v>
      </c>
      <c r="J278" s="219" t="str">
        <f ca="1">IF(ISERROR($V278),"",OFFSET('Smelter Look-up'!$I$4,$V278-4,0))</f>
        <v>Kagawa</v>
      </c>
      <c r="K278" s="273"/>
      <c r="L278" s="273"/>
      <c r="M278" s="273"/>
      <c r="N278" s="273"/>
      <c r="O278" s="273"/>
      <c r="P278" s="220"/>
      <c r="Q278" s="274"/>
      <c r="R278" s="217" t="str">
        <f ca="1">IF(ISERROR($V278),"",OFFSET('Smelter Look-up'!$C$4,$V278-4,0)&amp;"")</f>
        <v>Mitsubishi Materials Corporation</v>
      </c>
      <c r="S278" s="225" t="str">
        <f t="shared" ca="1" si="39"/>
        <v>JP</v>
      </c>
      <c r="T278" s="225" t="str">
        <f ca="1">IF(B278="","",IF(ISERROR(MATCH($J278,SorP!$B$1:$B$6230,0)),"",INDIRECT("'SorP'!$A$"&amp;MATCH($J278,SorP!$B$1:$B$6230,0))))</f>
        <v>JP-37</v>
      </c>
      <c r="U278" s="241"/>
      <c r="V278" s="275">
        <f>IF(C278="",NA(),MATCH($B278&amp;$C278,'Smelter Look-up'!$J:$J,0))</f>
        <v>164</v>
      </c>
      <c r="W278" s="276"/>
      <c r="X278" s="276">
        <f t="shared" si="40"/>
        <v>0</v>
      </c>
      <c r="Y278" s="276"/>
      <c r="Z278" s="276"/>
      <c r="AB278" s="278" t="str">
        <f t="shared" si="41"/>
        <v>GoldMitsubishi Materials Corporation</v>
      </c>
    </row>
    <row r="279" spans="1:28" s="277" customFormat="1" ht="81">
      <c r="A279" s="216"/>
      <c r="B279" s="217" t="s">
        <v>1154</v>
      </c>
      <c r="C279" s="221" t="s">
        <v>1187</v>
      </c>
      <c r="D279" s="283" t="s">
        <v>1187</v>
      </c>
      <c r="E279" s="217" t="s">
        <v>1131</v>
      </c>
      <c r="F279" s="217" t="s">
        <v>795</v>
      </c>
      <c r="G279" s="217" t="s">
        <v>15513</v>
      </c>
      <c r="H279" s="218">
        <f ca="1">IF(ISERROR($V279),"",OFFSET('Smelter Look-up'!$G$4,$V279-4,0))</f>
        <v>0</v>
      </c>
      <c r="I279" s="219" t="str">
        <f ca="1">IF(ISERROR($V279),"",OFFSET('Smelter Look-up'!$H$4,$V279-4,0))</f>
        <v>Asago</v>
      </c>
      <c r="J279" s="219" t="str">
        <f ca="1">IF(ISERROR($V279),"",OFFSET('Smelter Look-up'!$I$4,$V279-4,0))</f>
        <v>Hyogo</v>
      </c>
      <c r="K279" s="273"/>
      <c r="L279" s="273"/>
      <c r="M279" s="273"/>
      <c r="N279" s="273"/>
      <c r="O279" s="273"/>
      <c r="P279" s="220"/>
      <c r="Q279" s="274"/>
      <c r="R279" s="217" t="str">
        <f ca="1">IF(ISERROR($V279),"",OFFSET('Smelter Look-up'!$C$4,$V279-4,0)&amp;"")</f>
        <v>Mitsubishi Materials Corporation</v>
      </c>
      <c r="S279" s="225" t="str">
        <f t="shared" ca="1" si="39"/>
        <v>JP</v>
      </c>
      <c r="T279" s="225" t="str">
        <f ca="1">IF(B279="","",IF(ISERROR(MATCH($J279,SorP!$B$1:$B$6230,0)),"",INDIRECT("'SorP'!$A$"&amp;MATCH($J279,SorP!$B$1:$B$6230,0))))</f>
        <v>JP-28</v>
      </c>
      <c r="U279" s="241"/>
      <c r="V279" s="275">
        <f>IF(C279="",NA(),MATCH($B279&amp;$C279,'Smelter Look-up'!$J:$J,0))</f>
        <v>425</v>
      </c>
      <c r="W279" s="276"/>
      <c r="X279" s="276">
        <f t="shared" si="40"/>
        <v>0</v>
      </c>
      <c r="Y279" s="276"/>
      <c r="Z279" s="276"/>
      <c r="AB279" s="278" t="str">
        <f t="shared" si="41"/>
        <v>TinMitsubishi Materials Corporation</v>
      </c>
    </row>
    <row r="280" spans="1:28" s="277" customFormat="1" ht="81">
      <c r="A280" s="216"/>
      <c r="B280" s="217" t="s">
        <v>1153</v>
      </c>
      <c r="C280" s="221" t="s">
        <v>1253</v>
      </c>
      <c r="D280" s="283" t="s">
        <v>1253</v>
      </c>
      <c r="E280" s="217" t="s">
        <v>1131</v>
      </c>
      <c r="F280" s="217" t="s">
        <v>727</v>
      </c>
      <c r="G280" s="217" t="s">
        <v>15513</v>
      </c>
      <c r="H280" s="218">
        <f ca="1">IF(ISERROR($V280),"",OFFSET('Smelter Look-up'!$G$4,$V280-4,0))</f>
        <v>0</v>
      </c>
      <c r="I280" s="219" t="str">
        <f ca="1">IF(ISERROR($V280),"",OFFSET('Smelter Look-up'!$H$4,$V280-4,0))</f>
        <v>Takehara</v>
      </c>
      <c r="J280" s="219" t="str">
        <f ca="1">IF(ISERROR($V280),"",OFFSET('Smelter Look-up'!$I$4,$V280-4,0))</f>
        <v>Hiroshima</v>
      </c>
      <c r="K280" s="273"/>
      <c r="L280" s="273"/>
      <c r="M280" s="273"/>
      <c r="N280" s="273"/>
      <c r="O280" s="273"/>
      <c r="P280" s="220"/>
      <c r="Q280" s="274"/>
      <c r="R280" s="217" t="str">
        <f ca="1">IF(ISERROR($V280),"",OFFSET('Smelter Look-up'!$C$4,$V280-4,0)&amp;"")</f>
        <v>Mitsui Mining and Smelting Co., Ltd.</v>
      </c>
      <c r="S280" s="225" t="str">
        <f t="shared" ca="1" si="39"/>
        <v>JP</v>
      </c>
      <c r="T280" s="225" t="str">
        <f ca="1">IF(B280="","",IF(ISERROR(MATCH($J280,SorP!$B$1:$B$6230,0)),"",INDIRECT("'SorP'!$A$"&amp;MATCH($J280,SorP!$B$1:$B$6230,0))))</f>
        <v>JP-34</v>
      </c>
      <c r="U280" s="241"/>
      <c r="V280" s="275">
        <f>IF(C280="",NA(),MATCH($B280&amp;$C280,'Smelter Look-up'!$J:$J,0))</f>
        <v>166</v>
      </c>
      <c r="W280" s="276"/>
      <c r="X280" s="276">
        <f t="shared" si="40"/>
        <v>0</v>
      </c>
      <c r="Y280" s="276"/>
      <c r="Z280" s="276"/>
      <c r="AB280" s="278" t="str">
        <f t="shared" si="41"/>
        <v>GoldMitsui Mining and Smelting Co., Ltd.</v>
      </c>
    </row>
    <row r="281" spans="1:28" s="277" customFormat="1" ht="81">
      <c r="A281" s="216"/>
      <c r="B281" s="217" t="s">
        <v>1155</v>
      </c>
      <c r="C281" s="221" t="s">
        <v>1253</v>
      </c>
      <c r="D281" s="283" t="s">
        <v>1253</v>
      </c>
      <c r="E281" s="217" t="s">
        <v>1131</v>
      </c>
      <c r="F281" s="217" t="s">
        <v>774</v>
      </c>
      <c r="G281" s="217" t="s">
        <v>15513</v>
      </c>
      <c r="H281" s="218">
        <f ca="1">IF(ISERROR($V281),"",OFFSET('Smelter Look-up'!$G$4,$V281-4,0))</f>
        <v>0</v>
      </c>
      <c r="I281" s="219" t="str">
        <f ca="1">IF(ISERROR($V281),"",OFFSET('Smelter Look-up'!$H$4,$V281-4,0))</f>
        <v>Omuta</v>
      </c>
      <c r="J281" s="219" t="str">
        <f ca="1">IF(ISERROR($V281),"",OFFSET('Smelter Look-up'!$I$4,$V281-4,0))</f>
        <v>Fukuoka</v>
      </c>
      <c r="K281" s="273"/>
      <c r="L281" s="273"/>
      <c r="M281" s="273"/>
      <c r="N281" s="273"/>
      <c r="O281" s="273"/>
      <c r="P281" s="220"/>
      <c r="Q281" s="274"/>
      <c r="R281" s="217" t="str">
        <f ca="1">IF(ISERROR($V281),"",OFFSET('Smelter Look-up'!$C$4,$V281-4,0)&amp;"")</f>
        <v>Mitsui Mining and Smelting Co., Ltd.</v>
      </c>
      <c r="S281" s="225" t="str">
        <f t="shared" ca="1" si="39"/>
        <v>JP</v>
      </c>
      <c r="T281" s="225" t="str">
        <f ca="1">IF(B281="","",IF(ISERROR(MATCH($J281,SorP!$B$1:$B$6230,0)),"",INDIRECT("'SorP'!$A$"&amp;MATCH($J281,SorP!$B$1:$B$6230,0))))</f>
        <v>JP-40</v>
      </c>
      <c r="U281" s="241"/>
      <c r="V281" s="275">
        <f>IF(C281="",NA(),MATCH($B281&amp;$C281,'Smelter Look-up'!$J:$J,0))</f>
        <v>328</v>
      </c>
      <c r="W281" s="276"/>
      <c r="X281" s="276">
        <f t="shared" si="40"/>
        <v>0</v>
      </c>
      <c r="Y281" s="276"/>
      <c r="Z281" s="276"/>
      <c r="AB281" s="278" t="str">
        <f t="shared" si="41"/>
        <v>TantalumMitsui Mining and Smelting Co., Ltd.</v>
      </c>
    </row>
    <row r="282" spans="1:28" s="277" customFormat="1" ht="54">
      <c r="A282" s="216"/>
      <c r="B282" s="217" t="s">
        <v>1153</v>
      </c>
      <c r="C282" s="221" t="s">
        <v>2278</v>
      </c>
      <c r="D282" s="283" t="s">
        <v>2278</v>
      </c>
      <c r="E282" s="217" t="s">
        <v>1129</v>
      </c>
      <c r="F282" s="217" t="s">
        <v>1414</v>
      </c>
      <c r="G282" s="217" t="s">
        <v>15513</v>
      </c>
      <c r="H282" s="218">
        <f ca="1">IF(ISERROR($V282),"",OFFSET('Smelter Look-up'!$G$4,$V282-4,0))</f>
        <v>0</v>
      </c>
      <c r="I282" s="219" t="str">
        <f ca="1">IF(ISERROR($V282),"",OFFSET('Smelter Look-up'!$H$4,$V282-4,0))</f>
        <v>Mewat</v>
      </c>
      <c r="J282" s="219" t="str">
        <f ca="1">IF(ISERROR($V282),"",OFFSET('Smelter Look-up'!$I$4,$V282-4,0))</f>
        <v>Haryana</v>
      </c>
      <c r="K282" s="273"/>
      <c r="L282" s="273"/>
      <c r="M282" s="273"/>
      <c r="N282" s="273"/>
      <c r="O282" s="273"/>
      <c r="P282" s="220"/>
      <c r="Q282" s="274"/>
      <c r="R282" s="217" t="str">
        <f ca="1">IF(ISERROR($V282),"",OFFSET('Smelter Look-up'!$C$4,$V282-4,0)&amp;"")</f>
        <v>MMTC-PAMP India Pvt., Ltd.</v>
      </c>
      <c r="S282" s="225" t="str">
        <f t="shared" ca="1" si="39"/>
        <v>IN</v>
      </c>
      <c r="T282" s="225" t="str">
        <f ca="1">IF(B282="","",IF(ISERROR(MATCH($J282,SorP!$B$1:$B$6230,0)),"",INDIRECT("'SorP'!$A$"&amp;MATCH($J282,SorP!$B$1:$B$6230,0))))</f>
        <v>IN-HR</v>
      </c>
      <c r="U282" s="241"/>
      <c r="V282" s="275">
        <f>IF(C282="",NA(),MATCH($B282&amp;$C282,'Smelter Look-up'!$J:$J,0))</f>
        <v>167</v>
      </c>
      <c r="W282" s="276"/>
      <c r="X282" s="276">
        <f t="shared" si="40"/>
        <v>0</v>
      </c>
      <c r="Y282" s="276"/>
      <c r="Z282" s="276"/>
      <c r="AB282" s="278" t="str">
        <f t="shared" si="41"/>
        <v>GoldMMTC-PAMP India Pvt., Ltd.</v>
      </c>
    </row>
    <row r="283" spans="1:28" s="277" customFormat="1" ht="40.5">
      <c r="A283" s="216"/>
      <c r="B283" s="217" t="s">
        <v>1153</v>
      </c>
      <c r="C283" s="221" t="s">
        <v>2436</v>
      </c>
      <c r="D283" s="283" t="s">
        <v>2436</v>
      </c>
      <c r="E283" s="217" t="s">
        <v>1138</v>
      </c>
      <c r="F283" s="217" t="s">
        <v>2437</v>
      </c>
      <c r="G283" s="217" t="s">
        <v>15513</v>
      </c>
      <c r="H283" s="218">
        <f ca="1">IF(ISERROR($V283),"",OFFSET('Smelter Look-up'!$G$4,$V283-4,0))</f>
        <v>0</v>
      </c>
      <c r="I283" s="219" t="str">
        <f ca="1">IF(ISERROR($V283),"",OFFSET('Smelter Look-up'!$H$4,$V283-4,0))</f>
        <v>Kawasan Perindustrian Bukit Rambai</v>
      </c>
      <c r="J283" s="219" t="str">
        <f ca="1">IF(ISERROR($V283),"",OFFSET('Smelter Look-up'!$I$4,$V283-4,0))</f>
        <v>Melaka</v>
      </c>
      <c r="K283" s="273"/>
      <c r="L283" s="273"/>
      <c r="M283" s="273"/>
      <c r="N283" s="273"/>
      <c r="O283" s="273"/>
      <c r="P283" s="220"/>
      <c r="Q283" s="274"/>
      <c r="R283" s="217" t="str">
        <f ca="1">IF(ISERROR($V283),"",OFFSET('Smelter Look-up'!$C$4,$V283-4,0)&amp;"")</f>
        <v>Modeltech Sdn Bhd</v>
      </c>
      <c r="S283" s="225" t="str">
        <f t="shared" ca="1" si="39"/>
        <v>MY</v>
      </c>
      <c r="T283" s="225" t="str">
        <f ca="1">IF(B283="","",IF(ISERROR(MATCH($J283,SorP!$B$1:$B$6230,0)),"",INDIRECT("'SorP'!$A$"&amp;MATCH($J283,SorP!$B$1:$B$6230,0))))</f>
        <v>MY-04</v>
      </c>
      <c r="U283" s="241"/>
      <c r="V283" s="275">
        <f>IF(C283="",NA(),MATCH($B283&amp;$C283,'Smelter Look-up'!$J:$J,0))</f>
        <v>168</v>
      </c>
      <c r="W283" s="276"/>
      <c r="X283" s="276">
        <f t="shared" si="40"/>
        <v>0</v>
      </c>
      <c r="Y283" s="276"/>
      <c r="Z283" s="276"/>
      <c r="AB283" s="278" t="str">
        <f t="shared" si="41"/>
        <v>GoldModeltech Sdn Bhd</v>
      </c>
    </row>
    <row r="284" spans="1:28" s="277" customFormat="1" ht="40.5">
      <c r="A284" s="216"/>
      <c r="B284" s="217" t="s">
        <v>1154</v>
      </c>
      <c r="C284" s="221" t="s">
        <v>2436</v>
      </c>
      <c r="D284" s="283" t="s">
        <v>2436</v>
      </c>
      <c r="E284" s="217" t="s">
        <v>1138</v>
      </c>
      <c r="F284" s="217" t="s">
        <v>2474</v>
      </c>
      <c r="G284" s="217" t="s">
        <v>15513</v>
      </c>
      <c r="H284" s="218">
        <f ca="1">IF(ISERROR($V284),"",OFFSET('Smelter Look-up'!$G$4,$V284-4,0))</f>
        <v>0</v>
      </c>
      <c r="I284" s="219" t="str">
        <f ca="1">IF(ISERROR($V284),"",OFFSET('Smelter Look-up'!$H$4,$V284-4,0))</f>
        <v>Kawasan Perindustrian Bukit Rambai</v>
      </c>
      <c r="J284" s="219" t="str">
        <f ca="1">IF(ISERROR($V284),"",OFFSET('Smelter Look-up'!$I$4,$V284-4,0))</f>
        <v>Melaka</v>
      </c>
      <c r="K284" s="273"/>
      <c r="L284" s="273"/>
      <c r="M284" s="273"/>
      <c r="N284" s="273"/>
      <c r="O284" s="273"/>
      <c r="P284" s="220"/>
      <c r="Q284" s="274"/>
      <c r="R284" s="217" t="str">
        <f ca="1">IF(ISERROR($V284),"",OFFSET('Smelter Look-up'!$C$4,$V284-4,0)&amp;"")</f>
        <v>Modeltech Sdn Bhd</v>
      </c>
      <c r="S284" s="225" t="str">
        <f t="shared" ca="1" si="39"/>
        <v>MY</v>
      </c>
      <c r="T284" s="225" t="str">
        <f ca="1">IF(B284="","",IF(ISERROR(MATCH($J284,SorP!$B$1:$B$6230,0)),"",INDIRECT("'SorP'!$A$"&amp;MATCH($J284,SorP!$B$1:$B$6230,0))))</f>
        <v>MY-04</v>
      </c>
      <c r="U284" s="241"/>
      <c r="V284" s="275">
        <f>IF(C284="",NA(),MATCH($B284&amp;$C284,'Smelter Look-up'!$J:$J,0))</f>
        <v>426</v>
      </c>
      <c r="W284" s="276"/>
      <c r="X284" s="276">
        <f t="shared" si="40"/>
        <v>0</v>
      </c>
      <c r="Y284" s="276"/>
      <c r="Z284" s="276"/>
      <c r="AB284" s="278" t="str">
        <f t="shared" si="41"/>
        <v>TinModeltech Sdn Bhd</v>
      </c>
    </row>
    <row r="285" spans="1:28" s="277" customFormat="1" ht="40.5">
      <c r="A285" s="216"/>
      <c r="B285" s="217" t="s">
        <v>1156</v>
      </c>
      <c r="C285" s="221" t="s">
        <v>2688</v>
      </c>
      <c r="D285" s="283" t="s">
        <v>2688</v>
      </c>
      <c r="E285" s="217" t="s">
        <v>906</v>
      </c>
      <c r="F285" s="217" t="s">
        <v>2388</v>
      </c>
      <c r="G285" s="217" t="s">
        <v>15513</v>
      </c>
      <c r="H285" s="218">
        <f ca="1">IF(ISERROR($V285),"",OFFSET('Smelter Look-up'!$G$4,$V285-4,0))</f>
        <v>0</v>
      </c>
      <c r="I285" s="219" t="str">
        <f ca="1">IF(ISERROR($V285),"",OFFSET('Smelter Look-up'!$H$4,$V285-4,0))</f>
        <v>Roshal</v>
      </c>
      <c r="J285" s="219" t="str">
        <f ca="1">IF(ISERROR($V285),"",OFFSET('Smelter Look-up'!$I$4,$V285-4,0))</f>
        <v>Moskovskaja oblast'</v>
      </c>
      <c r="K285" s="273"/>
      <c r="L285" s="273"/>
      <c r="M285" s="273"/>
      <c r="N285" s="273"/>
      <c r="O285" s="273"/>
      <c r="P285" s="220"/>
      <c r="Q285" s="274"/>
      <c r="R285" s="217" t="str">
        <f ca="1">IF(ISERROR($V285),"",OFFSET('Smelter Look-up'!$C$4,$V285-4,0)&amp;"")</f>
        <v>Moliren Ltd.</v>
      </c>
      <c r="S285" s="225" t="str">
        <f t="shared" ca="1" si="39"/>
        <v>RU</v>
      </c>
      <c r="T285" s="225" t="str">
        <f ca="1">IF(B285="","",IF(ISERROR(MATCH($J285,SorP!$B$1:$B$6230,0)),"",INDIRECT("'SorP'!$A$"&amp;MATCH($J285,SorP!$B$1:$B$6230,0))))</f>
        <v>RU-MOS</v>
      </c>
      <c r="U285" s="241"/>
      <c r="V285" s="275">
        <f>IF(C285="",NA(),MATCH($B285&amp;$C285,'Smelter Look-up'!$J:$J,0))</f>
        <v>543</v>
      </c>
      <c r="W285" s="276"/>
      <c r="X285" s="276">
        <f t="shared" si="40"/>
        <v>0</v>
      </c>
      <c r="Y285" s="276"/>
      <c r="Z285" s="276"/>
      <c r="AB285" s="278" t="str">
        <f t="shared" si="41"/>
        <v>TungstenMoliren Ltd.</v>
      </c>
    </row>
    <row r="286" spans="1:28" s="277" customFormat="1" ht="40.5">
      <c r="A286" s="216"/>
      <c r="B286" s="217" t="s">
        <v>1153</v>
      </c>
      <c r="C286" s="221" t="s">
        <v>2318</v>
      </c>
      <c r="D286" s="283" t="s">
        <v>2318</v>
      </c>
      <c r="E286" s="217" t="s">
        <v>1140</v>
      </c>
      <c r="F286" s="217" t="s">
        <v>2319</v>
      </c>
      <c r="G286" s="217" t="s">
        <v>15513</v>
      </c>
      <c r="H286" s="218">
        <f ca="1">IF(ISERROR($V286),"",OFFSET('Smelter Look-up'!$G$4,$V286-4,0))</f>
        <v>0</v>
      </c>
      <c r="I286" s="219" t="str">
        <f ca="1">IF(ISERROR($V286),"",OFFSET('Smelter Look-up'!$H$4,$V286-4,0))</f>
        <v>Onehunga</v>
      </c>
      <c r="J286" s="219" t="str">
        <f ca="1">IF(ISERROR($V286),"",OFFSET('Smelter Look-up'!$I$4,$V286-4,0))</f>
        <v>Auckland</v>
      </c>
      <c r="K286" s="273"/>
      <c r="L286" s="273"/>
      <c r="M286" s="273"/>
      <c r="N286" s="273"/>
      <c r="O286" s="273"/>
      <c r="P286" s="220"/>
      <c r="Q286" s="274"/>
      <c r="R286" s="217" t="str">
        <f ca="1">IF(ISERROR($V286),"",OFFSET('Smelter Look-up'!$C$4,$V286-4,0)&amp;"")</f>
        <v>Morris and Watson</v>
      </c>
      <c r="S286" s="225" t="str">
        <f t="shared" ca="1" si="39"/>
        <v>NZ</v>
      </c>
      <c r="T286" s="225" t="str">
        <f ca="1">IF(B286="","",IF(ISERROR(MATCH($J286,SorP!$B$1:$B$6230,0)),"",INDIRECT("'SorP'!$A$"&amp;MATCH($J286,SorP!$B$1:$B$6230,0))))</f>
        <v>NZ-AUK</v>
      </c>
      <c r="U286" s="241"/>
      <c r="V286" s="275">
        <f>IF(C286="",NA(),MATCH($B286&amp;$C286,'Smelter Look-up'!$J:$J,0))</f>
        <v>169</v>
      </c>
      <c r="W286" s="276"/>
      <c r="X286" s="276">
        <f t="shared" si="40"/>
        <v>0</v>
      </c>
      <c r="Y286" s="276"/>
      <c r="Z286" s="276"/>
      <c r="AB286" s="278" t="str">
        <f t="shared" si="41"/>
        <v>GoldMorris and Watson</v>
      </c>
    </row>
    <row r="287" spans="1:28" s="277" customFormat="1" ht="40.5">
      <c r="A287" s="216"/>
      <c r="B287" s="217" t="s">
        <v>1153</v>
      </c>
      <c r="C287" s="221" t="s">
        <v>1898</v>
      </c>
      <c r="D287" s="283" t="s">
        <v>15664</v>
      </c>
      <c r="E287" s="217" t="s">
        <v>1116</v>
      </c>
      <c r="F287" s="217" t="s">
        <v>15665</v>
      </c>
      <c r="G287" s="217" t="s">
        <v>15513</v>
      </c>
      <c r="H287" s="218">
        <f ca="1">IF(ISERROR($V287),"",OFFSET('Smelter Look-up'!$G$4,$V287-4,0))</f>
        <v>0</v>
      </c>
      <c r="I287" s="219">
        <f ca="1">IF(ISERROR($V287),"",OFFSET('Smelter Look-up'!$H$4,$V287-4,0))</f>
        <v>0</v>
      </c>
      <c r="J287" s="219">
        <f ca="1">IF(ISERROR($V287),"",OFFSET('Smelter Look-up'!$I$4,$V287-4,0))</f>
        <v>0</v>
      </c>
      <c r="K287" s="273"/>
      <c r="L287" s="273"/>
      <c r="M287" s="273"/>
      <c r="N287" s="273"/>
      <c r="O287" s="273"/>
      <c r="P287" s="220"/>
      <c r="Q287" s="274"/>
      <c r="R287" s="217" t="str">
        <f ca="1">IF(ISERROR($V287),"",OFFSET('Smelter Look-up'!$C$4,$V287-4,0)&amp;"")</f>
        <v/>
      </c>
      <c r="S287" s="225" t="str">
        <f t="shared" ca="1" si="39"/>
        <v>AU</v>
      </c>
      <c r="T287" s="225" t="str">
        <f ca="1">IF(B287="","",IF(ISERROR(MATCH($J287,SorP!$B$1:$B$6230,0)),"",INDIRECT("'SorP'!$A$"&amp;MATCH($J287,SorP!$B$1:$B$6230,0))))</f>
        <v/>
      </c>
      <c r="U287" s="241"/>
      <c r="V287" s="275">
        <f>IF(C287="",NA(),MATCH($B287&amp;$C287,'Smelter Look-up'!$J:$J,0))</f>
        <v>293</v>
      </c>
      <c r="W287" s="276"/>
      <c r="X287" s="276">
        <f t="shared" si="40"/>
        <v>0</v>
      </c>
      <c r="Y287" s="276"/>
      <c r="Z287" s="276"/>
      <c r="AB287" s="278" t="str">
        <f t="shared" si="41"/>
        <v>GoldSmelter not listed</v>
      </c>
    </row>
    <row r="288" spans="1:28" s="277" customFormat="1" ht="81">
      <c r="A288" s="216"/>
      <c r="B288" s="217" t="s">
        <v>1153</v>
      </c>
      <c r="C288" s="221" t="s">
        <v>934</v>
      </c>
      <c r="D288" s="283" t="s">
        <v>934</v>
      </c>
      <c r="E288" s="217" t="s">
        <v>906</v>
      </c>
      <c r="F288" s="217" t="s">
        <v>728</v>
      </c>
      <c r="G288" s="217" t="s">
        <v>15513</v>
      </c>
      <c r="H288" s="218">
        <f ca="1">IF(ISERROR($V288),"",OFFSET('Smelter Look-up'!$G$4,$V288-4,0))</f>
        <v>0</v>
      </c>
      <c r="I288" s="219" t="str">
        <f ca="1">IF(ISERROR($V288),"",OFFSET('Smelter Look-up'!$H$4,$V288-4,0))</f>
        <v>Obrucheva</v>
      </c>
      <c r="J288" s="219" t="str">
        <f ca="1">IF(ISERROR($V288),"",OFFSET('Smelter Look-up'!$I$4,$V288-4,0))</f>
        <v>Moskva</v>
      </c>
      <c r="K288" s="273"/>
      <c r="L288" s="273"/>
      <c r="M288" s="273"/>
      <c r="N288" s="273"/>
      <c r="O288" s="273"/>
      <c r="P288" s="220"/>
      <c r="Q288" s="274"/>
      <c r="R288" s="217" t="str">
        <f ca="1">IF(ISERROR($V288),"",OFFSET('Smelter Look-up'!$C$4,$V288-4,0)&amp;"")</f>
        <v>Moscow Special Alloys Processing Plant</v>
      </c>
      <c r="S288" s="225" t="str">
        <f t="shared" ca="1" si="39"/>
        <v>RU</v>
      </c>
      <c r="T288" s="225" t="str">
        <f ca="1">IF(B288="","",IF(ISERROR(MATCH($J288,SorP!$B$1:$B$6230,0)),"",INDIRECT("'SorP'!$A$"&amp;MATCH($J288,SorP!$B$1:$B$6230,0))))</f>
        <v>RU-MOW</v>
      </c>
      <c r="U288" s="241"/>
      <c r="V288" s="275">
        <f>IF(C288="",NA(),MATCH($B288&amp;$C288,'Smelter Look-up'!$J:$J,0))</f>
        <v>170</v>
      </c>
      <c r="W288" s="276"/>
      <c r="X288" s="276">
        <f t="shared" si="40"/>
        <v>0</v>
      </c>
      <c r="Y288" s="276"/>
      <c r="Z288" s="276"/>
      <c r="AB288" s="278" t="str">
        <f t="shared" si="41"/>
        <v>GoldMoscow Special Alloys Processing Plant</v>
      </c>
    </row>
    <row r="289" spans="1:28" s="277" customFormat="1" ht="67.5">
      <c r="A289" s="216"/>
      <c r="B289" s="217" t="s">
        <v>1153</v>
      </c>
      <c r="C289" s="221" t="s">
        <v>12758</v>
      </c>
      <c r="D289" s="283" t="s">
        <v>12758</v>
      </c>
      <c r="E289" s="217" t="s">
        <v>912</v>
      </c>
      <c r="F289" s="217" t="s">
        <v>729</v>
      </c>
      <c r="G289" s="217" t="s">
        <v>15513</v>
      </c>
      <c r="H289" s="218">
        <f ca="1">IF(ISERROR($V289),"",OFFSET('Smelter Look-up'!$G$4,$V289-4,0))</f>
        <v>0</v>
      </c>
      <c r="I289" s="219" t="str">
        <f ca="1">IF(ISERROR($V289),"",OFFSET('Smelter Look-up'!$H$4,$V289-4,0))</f>
        <v>Bahçelievler</v>
      </c>
      <c r="J289" s="219" t="str">
        <f ca="1">IF(ISERROR($V289),"",OFFSET('Smelter Look-up'!$I$4,$V289-4,0))</f>
        <v>İstanbul</v>
      </c>
      <c r="K289" s="273"/>
      <c r="L289" s="273"/>
      <c r="M289" s="273"/>
      <c r="N289" s="273"/>
      <c r="O289" s="273"/>
      <c r="P289" s="220"/>
      <c r="Q289" s="274"/>
      <c r="R289" s="217" t="str">
        <f ca="1">IF(ISERROR($V289),"",OFFSET('Smelter Look-up'!$C$4,$V289-4,0)&amp;"")</f>
        <v>Nadir Metal Rafineri San. Ve Tic. A.S.</v>
      </c>
      <c r="S289" s="225" t="str">
        <f t="shared" ca="1" si="39"/>
        <v>TR</v>
      </c>
      <c r="T289" s="225" t="str">
        <f ca="1">IF(B289="","",IF(ISERROR(MATCH($J289,SorP!$B$1:$B$6230,0)),"",INDIRECT("'SorP'!$A$"&amp;MATCH($J289,SorP!$B$1:$B$6230,0))))</f>
        <v>TR-34</v>
      </c>
      <c r="U289" s="241"/>
      <c r="V289" s="275">
        <f>IF(C289="",NA(),MATCH($B289&amp;$C289,'Smelter Look-up'!$J:$J,0))</f>
        <v>171</v>
      </c>
      <c r="W289" s="276"/>
      <c r="X289" s="276">
        <f t="shared" si="40"/>
        <v>0</v>
      </c>
      <c r="Y289" s="276"/>
      <c r="Z289" s="276"/>
      <c r="AB289" s="278" t="str">
        <f t="shared" si="41"/>
        <v>GoldNadir Metal Rafineri San. Ve Tic. A.S.</v>
      </c>
    </row>
    <row r="290" spans="1:28" s="277" customFormat="1" ht="81">
      <c r="A290" s="216"/>
      <c r="B290" s="217" t="s">
        <v>1155</v>
      </c>
      <c r="C290" s="221" t="s">
        <v>1898</v>
      </c>
      <c r="D290" s="283" t="s">
        <v>15666</v>
      </c>
      <c r="E290" s="217" t="s">
        <v>1123</v>
      </c>
      <c r="F290" s="217" t="s">
        <v>14250</v>
      </c>
      <c r="G290" s="217" t="s">
        <v>14250</v>
      </c>
      <c r="H290" s="218">
        <f ca="1">IF(ISERROR($V290),"",OFFSET('Smelter Look-up'!$G$4,$V290-4,0))</f>
        <v>0</v>
      </c>
      <c r="I290" s="219">
        <f ca="1">IF(ISERROR($V290),"",OFFSET('Smelter Look-up'!$H$4,$V290-4,0))</f>
        <v>0</v>
      </c>
      <c r="J290" s="219">
        <f ca="1">IF(ISERROR($V290),"",OFFSET('Smelter Look-up'!$I$4,$V290-4,0))</f>
        <v>0</v>
      </c>
      <c r="K290" s="273"/>
      <c r="L290" s="273"/>
      <c r="M290" s="273"/>
      <c r="N290" s="273"/>
      <c r="O290" s="273"/>
      <c r="P290" s="220"/>
      <c r="Q290" s="274" t="s">
        <v>15525</v>
      </c>
      <c r="R290" s="217" t="str">
        <f ca="1">IF(ISERROR($V290),"",OFFSET('Smelter Look-up'!$C$4,$V290-4,0)&amp;"")</f>
        <v/>
      </c>
      <c r="S290" s="225" t="str">
        <f t="shared" ca="1" si="39"/>
        <v>CN</v>
      </c>
      <c r="T290" s="225" t="str">
        <f ca="1">IF(B290="","",IF(ISERROR(MATCH($J290,SorP!$B$1:$B$6230,0)),"",INDIRECT("'SorP'!$A$"&amp;MATCH($J290,SorP!$B$1:$B$6230,0))))</f>
        <v/>
      </c>
      <c r="U290" s="241"/>
      <c r="V290" s="275">
        <f>IF(C290="",NA(),MATCH($B290&amp;$C290,'Smelter Look-up'!$J:$J,0))</f>
        <v>353</v>
      </c>
      <c r="W290" s="276"/>
      <c r="X290" s="276">
        <f t="shared" si="40"/>
        <v>0</v>
      </c>
      <c r="Y290" s="276"/>
      <c r="Z290" s="276"/>
      <c r="AB290" s="278" t="str">
        <f t="shared" si="41"/>
        <v>TantalumSmelter not listed</v>
      </c>
    </row>
    <row r="291" spans="1:28" s="277" customFormat="1" ht="108">
      <c r="A291" s="216"/>
      <c r="B291" s="217" t="s">
        <v>1153</v>
      </c>
      <c r="C291" s="221" t="s">
        <v>1254</v>
      </c>
      <c r="D291" s="283" t="s">
        <v>1254</v>
      </c>
      <c r="E291" s="217" t="s">
        <v>914</v>
      </c>
      <c r="F291" s="217" t="s">
        <v>730</v>
      </c>
      <c r="G291" s="217" t="s">
        <v>15513</v>
      </c>
      <c r="H291" s="218">
        <f ca="1">IF(ISERROR($V291),"",OFFSET('Smelter Look-up'!$G$4,$V291-4,0))</f>
        <v>0</v>
      </c>
      <c r="I291" s="219" t="str">
        <f ca="1">IF(ISERROR($V291),"",OFFSET('Smelter Look-up'!$H$4,$V291-4,0))</f>
        <v>Navoi</v>
      </c>
      <c r="J291" s="219" t="str">
        <f ca="1">IF(ISERROR($V291),"",OFFSET('Smelter Look-up'!$I$4,$V291-4,0))</f>
        <v>Navoiy</v>
      </c>
      <c r="K291" s="273"/>
      <c r="L291" s="273"/>
      <c r="M291" s="273"/>
      <c r="N291" s="273"/>
      <c r="O291" s="273"/>
      <c r="P291" s="220"/>
      <c r="Q291" s="274"/>
      <c r="R291" s="217" t="str">
        <f ca="1">IF(ISERROR($V291),"",OFFSET('Smelter Look-up'!$C$4,$V291-4,0)&amp;"")</f>
        <v>Navoi Mining and Metallurgical Combinat</v>
      </c>
      <c r="S291" s="225" t="str">
        <f t="shared" ca="1" si="39"/>
        <v>UZ</v>
      </c>
      <c r="T291" s="225" t="str">
        <f ca="1">IF(B291="","",IF(ISERROR(MATCH($J291,SorP!$B$1:$B$6230,0)),"",INDIRECT("'SorP'!$A$"&amp;MATCH($J291,SorP!$B$1:$B$6230,0))))</f>
        <v>UZ-NW</v>
      </c>
      <c r="U291" s="241"/>
      <c r="V291" s="275">
        <f>IF(C291="",NA(),MATCH($B291&amp;$C291,'Smelter Look-up'!$J:$J,0))</f>
        <v>173</v>
      </c>
      <c r="W291" s="276"/>
      <c r="X291" s="276">
        <f t="shared" si="40"/>
        <v>0</v>
      </c>
      <c r="Y291" s="276"/>
      <c r="Z291" s="276"/>
      <c r="AB291" s="278" t="str">
        <f t="shared" si="41"/>
        <v>GoldNavoi Mining and Metallurgical Combinat</v>
      </c>
    </row>
    <row r="292" spans="1:28" s="277" customFormat="1" ht="40.5">
      <c r="A292" s="216"/>
      <c r="B292" s="217" t="s">
        <v>1154</v>
      </c>
      <c r="C292" s="221" t="s">
        <v>1898</v>
      </c>
      <c r="D292" s="283" t="s">
        <v>15667</v>
      </c>
      <c r="E292" s="217" t="s">
        <v>2576</v>
      </c>
      <c r="F292" s="217" t="s">
        <v>14250</v>
      </c>
      <c r="G292" s="217" t="s">
        <v>14250</v>
      </c>
      <c r="H292" s="218">
        <f ca="1">IF(ISERROR($V292),"",OFFSET('Smelter Look-up'!$G$4,$V292-4,0))</f>
        <v>0</v>
      </c>
      <c r="I292" s="219">
        <f ca="1">IF(ISERROR($V292),"",OFFSET('Smelter Look-up'!$H$4,$V292-4,0))</f>
        <v>0</v>
      </c>
      <c r="J292" s="219">
        <f ca="1">IF(ISERROR($V292),"",OFFSET('Smelter Look-up'!$I$4,$V292-4,0))</f>
        <v>0</v>
      </c>
      <c r="K292" s="273"/>
      <c r="L292" s="273"/>
      <c r="M292" s="273"/>
      <c r="N292" s="273"/>
      <c r="O292" s="273"/>
      <c r="P292" s="220"/>
      <c r="Q292" s="274"/>
      <c r="R292" s="217" t="str">
        <f ca="1">IF(ISERROR($V292),"",OFFSET('Smelter Look-up'!$C$4,$V292-4,0)&amp;"")</f>
        <v/>
      </c>
      <c r="S292" s="225" t="str">
        <f t="shared" ca="1" si="39"/>
        <v>US</v>
      </c>
      <c r="T292" s="225" t="str">
        <f ca="1">IF(B292="","",IF(ISERROR(MATCH($J292,SorP!$B$1:$B$6230,0)),"",INDIRECT("'SorP'!$A$"&amp;MATCH($J292,SorP!$B$1:$B$6230,0))))</f>
        <v/>
      </c>
      <c r="U292" s="241"/>
      <c r="V292" s="275">
        <f>IF(C292="",NA(),MATCH($B292&amp;$C292,'Smelter Look-up'!$J:$J,0))</f>
        <v>484</v>
      </c>
      <c r="W292" s="276"/>
      <c r="X292" s="276">
        <f t="shared" si="40"/>
        <v>0</v>
      </c>
      <c r="Y292" s="276"/>
      <c r="Z292" s="276"/>
      <c r="AB292" s="278" t="str">
        <f t="shared" si="41"/>
        <v>TinSmelter not listed</v>
      </c>
    </row>
    <row r="293" spans="1:28" s="277" customFormat="1" ht="108">
      <c r="A293" s="216"/>
      <c r="B293" s="217" t="s">
        <v>1154</v>
      </c>
      <c r="C293" s="221" t="s">
        <v>1849</v>
      </c>
      <c r="D293" s="283" t="s">
        <v>1849</v>
      </c>
      <c r="E293" s="217" t="s">
        <v>915</v>
      </c>
      <c r="F293" s="217" t="s">
        <v>1850</v>
      </c>
      <c r="G293" s="217" t="s">
        <v>15513</v>
      </c>
      <c r="H293" s="218">
        <f ca="1">IF(ISERROR($V293),"",OFFSET('Smelter Look-up'!$G$4,$V293-4,0))</f>
        <v>0</v>
      </c>
      <c r="I293" s="219" t="str">
        <f ca="1">IF(ISERROR($V293),"",OFFSET('Smelter Look-up'!$H$4,$V293-4,0))</f>
        <v>Quy Hop</v>
      </c>
      <c r="J293" s="219" t="str">
        <f ca="1">IF(ISERROR($V293),"",OFFSET('Smelter Look-up'!$I$4,$V293-4,0))</f>
        <v>Nghệ An</v>
      </c>
      <c r="K293" s="273"/>
      <c r="L293" s="273"/>
      <c r="M293" s="273"/>
      <c r="N293" s="273"/>
      <c r="O293" s="273"/>
      <c r="P293" s="220"/>
      <c r="Q293" s="274"/>
      <c r="R293" s="217" t="str">
        <f ca="1">IF(ISERROR($V293),"",OFFSET('Smelter Look-up'!$C$4,$V293-4,0)&amp;"")</f>
        <v>Nghe Tinh Non-Ferrous Metals Joint Stock Company</v>
      </c>
      <c r="S293" s="225" t="str">
        <f t="shared" ca="1" si="39"/>
        <v>VN</v>
      </c>
      <c r="T293" s="225" t="str">
        <f ca="1">IF(B293="","",IF(ISERROR(MATCH($J293,SorP!$B$1:$B$6230,0)),"",INDIRECT("'SorP'!$A$"&amp;MATCH($J293,SorP!$B$1:$B$6230,0))))</f>
        <v>VN-22</v>
      </c>
      <c r="U293" s="241"/>
      <c r="V293" s="275">
        <f>IF(C293="",NA(),MATCH($B293&amp;$C293,'Smelter Look-up'!$J:$J,0))</f>
        <v>430</v>
      </c>
      <c r="W293" s="276"/>
      <c r="X293" s="276">
        <f t="shared" si="40"/>
        <v>0</v>
      </c>
      <c r="Y293" s="276"/>
      <c r="Z293" s="276"/>
      <c r="AB293" s="278" t="str">
        <f t="shared" si="41"/>
        <v>TinNghe Tinh Non-Ferrous Metals Joint Stock Company</v>
      </c>
    </row>
    <row r="294" spans="1:28" s="277" customFormat="1" ht="54">
      <c r="A294" s="216"/>
      <c r="B294" s="217" t="s">
        <v>1153</v>
      </c>
      <c r="C294" s="221" t="s">
        <v>13255</v>
      </c>
      <c r="D294" s="283" t="s">
        <v>13255</v>
      </c>
      <c r="E294" s="217" t="s">
        <v>1134</v>
      </c>
      <c r="F294" s="217" t="s">
        <v>13256</v>
      </c>
      <c r="G294" s="217" t="s">
        <v>15513</v>
      </c>
      <c r="H294" s="218">
        <f ca="1">IF(ISERROR($V294),"",OFFSET('Smelter Look-up'!$G$4,$V294-4,0))</f>
        <v>0</v>
      </c>
      <c r="I294" s="219" t="str">
        <f ca="1">IF(ISERROR($V294),"",OFFSET('Smelter Look-up'!$H$4,$V294-4,0))</f>
        <v>Pyeongtaek-si</v>
      </c>
      <c r="J294" s="219" t="str">
        <f ca="1">IF(ISERROR($V294),"",OFFSET('Smelter Look-up'!$I$4,$V294-4,0))</f>
        <v>Gyeonggi-do</v>
      </c>
      <c r="K294" s="273"/>
      <c r="L294" s="273"/>
      <c r="M294" s="273"/>
      <c r="N294" s="273"/>
      <c r="O294" s="273"/>
      <c r="P294" s="220"/>
      <c r="Q294" s="274"/>
      <c r="R294" s="217" t="str">
        <f ca="1">IF(ISERROR($V294),"",OFFSET('Smelter Look-up'!$C$4,$V294-4,0)&amp;"")</f>
        <v>NH Recytech Company</v>
      </c>
      <c r="S294" s="225" t="str">
        <f t="shared" ref="S294:S324" ca="1" si="42">IF(B294="","",IF(ISERROR(MATCH($E294,CL,0)),"Unknown",INDIRECT("'C'!$A$"&amp;MATCH($E294,CL,0)+1)))</f>
        <v>KR</v>
      </c>
      <c r="T294" s="225" t="str">
        <f ca="1">IF(B294="","",IF(ISERROR(MATCH($J294,SorP!$B$1:$B$6230,0)),"",INDIRECT("'SorP'!$A$"&amp;MATCH($J294,SorP!$B$1:$B$6230,0))))</f>
        <v>KR-41</v>
      </c>
      <c r="U294" s="241"/>
      <c r="V294" s="275">
        <f>IF(C294="",NA(),MATCH($B294&amp;$C294,'Smelter Look-up'!$J:$J,0))</f>
        <v>174</v>
      </c>
      <c r="W294" s="276"/>
      <c r="X294" s="276">
        <f t="shared" ref="X294:X324" si="43">IF(AND(C294="Smelter not listed",OR(LEN(D294)=0,LEN(E294)=0)),1,0)</f>
        <v>0</v>
      </c>
      <c r="Y294" s="276"/>
      <c r="Z294" s="276"/>
      <c r="AB294" s="278" t="str">
        <f t="shared" ref="AB294:AB324" si="44">B294&amp;C294</f>
        <v>GoldNH Recytech Company</v>
      </c>
    </row>
    <row r="295" spans="1:28" s="277" customFormat="1" ht="54">
      <c r="A295" s="216"/>
      <c r="B295" s="217" t="s">
        <v>1156</v>
      </c>
      <c r="C295" s="221" t="s">
        <v>1888</v>
      </c>
      <c r="D295" s="283" t="s">
        <v>1888</v>
      </c>
      <c r="E295" s="217" t="s">
        <v>2576</v>
      </c>
      <c r="F295" s="217" t="s">
        <v>1889</v>
      </c>
      <c r="G295" s="217" t="s">
        <v>15513</v>
      </c>
      <c r="H295" s="218">
        <f ca="1">IF(ISERROR($V295),"",OFFSET('Smelter Look-up'!$G$4,$V295-4,0))</f>
        <v>0</v>
      </c>
      <c r="I295" s="219" t="str">
        <f ca="1">IF(ISERROR($V295),"",OFFSET('Smelter Look-up'!$H$4,$V295-4,0))</f>
        <v>Depew</v>
      </c>
      <c r="J295" s="219" t="str">
        <f ca="1">IF(ISERROR($V295),"",OFFSET('Smelter Look-up'!$I$4,$V295-4,0))</f>
        <v>New York</v>
      </c>
      <c r="K295" s="273"/>
      <c r="L295" s="273"/>
      <c r="M295" s="273"/>
      <c r="N295" s="273"/>
      <c r="O295" s="273"/>
      <c r="P295" s="220"/>
      <c r="Q295" s="274"/>
      <c r="R295" s="217" t="str">
        <f ca="1">IF(ISERROR($V295),"",OFFSET('Smelter Look-up'!$C$4,$V295-4,0)&amp;"")</f>
        <v>Niagara Refining LLC</v>
      </c>
      <c r="S295" s="225" t="str">
        <f t="shared" ca="1" si="42"/>
        <v>US</v>
      </c>
      <c r="T295" s="225" t="str">
        <f ca="1">IF(B295="","",IF(ISERROR(MATCH($J295,SorP!$B$1:$B$6230,0)),"",INDIRECT("'SorP'!$A$"&amp;MATCH($J295,SorP!$B$1:$B$6230,0))))</f>
        <v>US-NY</v>
      </c>
      <c r="U295" s="241"/>
      <c r="V295" s="275">
        <f>IF(C295="",NA(),MATCH($B295&amp;$C295,'Smelter Look-up'!$J:$J,0))</f>
        <v>544</v>
      </c>
      <c r="W295" s="276"/>
      <c r="X295" s="276">
        <f t="shared" si="43"/>
        <v>0</v>
      </c>
      <c r="Y295" s="276"/>
      <c r="Z295" s="276"/>
      <c r="AB295" s="278" t="str">
        <f t="shared" si="44"/>
        <v>TungstenNiagara Refining LLC</v>
      </c>
    </row>
    <row r="296" spans="1:28" s="277" customFormat="1" ht="54">
      <c r="A296" s="216"/>
      <c r="B296" s="217" t="s">
        <v>1153</v>
      </c>
      <c r="C296" s="221" t="s">
        <v>2259</v>
      </c>
      <c r="D296" s="283" t="s">
        <v>2259</v>
      </c>
      <c r="E296" s="217" t="s">
        <v>1131</v>
      </c>
      <c r="F296" s="217" t="s">
        <v>731</v>
      </c>
      <c r="G296" s="217" t="s">
        <v>15513</v>
      </c>
      <c r="H296" s="218">
        <f ca="1">IF(ISERROR($V296),"",OFFSET('Smelter Look-up'!$G$4,$V296-4,0))</f>
        <v>0</v>
      </c>
      <c r="I296" s="219" t="str">
        <f ca="1">IF(ISERROR($V296),"",OFFSET('Smelter Look-up'!$H$4,$V296-4,0))</f>
        <v>Noda</v>
      </c>
      <c r="J296" s="219" t="str">
        <f ca="1">IF(ISERROR($V296),"",OFFSET('Smelter Look-up'!$I$4,$V296-4,0))</f>
        <v>Chiba</v>
      </c>
      <c r="K296" s="273"/>
      <c r="L296" s="273"/>
      <c r="M296" s="273"/>
      <c r="N296" s="273"/>
      <c r="O296" s="273"/>
      <c r="P296" s="220"/>
      <c r="Q296" s="274"/>
      <c r="R296" s="217" t="str">
        <f ca="1">IF(ISERROR($V296),"",OFFSET('Smelter Look-up'!$C$4,$V296-4,0)&amp;"")</f>
        <v>Nihon Material Co., Ltd.</v>
      </c>
      <c r="S296" s="225" t="str">
        <f t="shared" ca="1" si="42"/>
        <v>JP</v>
      </c>
      <c r="T296" s="225" t="str">
        <f ca="1">IF(B296="","",IF(ISERROR(MATCH($J296,SorP!$B$1:$B$6230,0)),"",INDIRECT("'SorP'!$A$"&amp;MATCH($J296,SorP!$B$1:$B$6230,0))))</f>
        <v>JP-12</v>
      </c>
      <c r="U296" s="241"/>
      <c r="V296" s="275">
        <f>IF(C296="",NA(),MATCH($B296&amp;$C296,'Smelter Look-up'!$J:$J,0))</f>
        <v>175</v>
      </c>
      <c r="W296" s="276"/>
      <c r="X296" s="276">
        <f t="shared" si="43"/>
        <v>0</v>
      </c>
      <c r="Y296" s="276"/>
      <c r="Z296" s="276"/>
      <c r="AB296" s="278" t="str">
        <f t="shared" si="44"/>
        <v>GoldNihon Material Co., Ltd.</v>
      </c>
    </row>
    <row r="297" spans="1:28" s="277" customFormat="1" ht="81">
      <c r="A297" s="216"/>
      <c r="B297" s="217" t="s">
        <v>1153</v>
      </c>
      <c r="C297" s="221" t="s">
        <v>1898</v>
      </c>
      <c r="D297" s="283" t="s">
        <v>15668</v>
      </c>
      <c r="E297" s="217" t="s">
        <v>1131</v>
      </c>
      <c r="F297" s="217" t="s">
        <v>14250</v>
      </c>
      <c r="G297" s="217" t="s">
        <v>14250</v>
      </c>
      <c r="H297" s="218">
        <f ca="1">IF(ISERROR($V297),"",OFFSET('Smelter Look-up'!$G$4,$V297-4,0))</f>
        <v>0</v>
      </c>
      <c r="I297" s="219">
        <f ca="1">IF(ISERROR($V297),"",OFFSET('Smelter Look-up'!$H$4,$V297-4,0))</f>
        <v>0</v>
      </c>
      <c r="J297" s="219">
        <f ca="1">IF(ISERROR($V297),"",OFFSET('Smelter Look-up'!$I$4,$V297-4,0))</f>
        <v>0</v>
      </c>
      <c r="K297" s="273"/>
      <c r="L297" s="273"/>
      <c r="M297" s="273"/>
      <c r="N297" s="273"/>
      <c r="O297" s="273"/>
      <c r="P297" s="220"/>
      <c r="Q297" s="274" t="s">
        <v>15525</v>
      </c>
      <c r="R297" s="217" t="str">
        <f ca="1">IF(ISERROR($V297),"",OFFSET('Smelter Look-up'!$C$4,$V297-4,0)&amp;"")</f>
        <v/>
      </c>
      <c r="S297" s="225" t="str">
        <f t="shared" ca="1" si="42"/>
        <v>JP</v>
      </c>
      <c r="T297" s="225" t="str">
        <f ca="1">IF(B297="","",IF(ISERROR(MATCH($J297,SorP!$B$1:$B$6230,0)),"",INDIRECT("'SorP'!$A$"&amp;MATCH($J297,SorP!$B$1:$B$6230,0))))</f>
        <v/>
      </c>
      <c r="U297" s="241"/>
      <c r="V297" s="275">
        <f>IF(C297="",NA(),MATCH($B297&amp;$C297,'Smelter Look-up'!$J:$J,0))</f>
        <v>293</v>
      </c>
      <c r="W297" s="276"/>
      <c r="X297" s="276">
        <f t="shared" si="43"/>
        <v>0</v>
      </c>
      <c r="Y297" s="276"/>
      <c r="Z297" s="276"/>
      <c r="AB297" s="278" t="str">
        <f t="shared" si="44"/>
        <v>GoldSmelter not listed</v>
      </c>
    </row>
    <row r="298" spans="1:28" s="277" customFormat="1" ht="40.5">
      <c r="A298" s="216"/>
      <c r="B298" s="217" t="s">
        <v>1153</v>
      </c>
      <c r="C298" s="221" t="s">
        <v>1898</v>
      </c>
      <c r="D298" s="283" t="s">
        <v>15669</v>
      </c>
      <c r="E298" s="217" t="s">
        <v>1131</v>
      </c>
      <c r="F298" s="217" t="s">
        <v>14250</v>
      </c>
      <c r="G298" s="217" t="s">
        <v>14250</v>
      </c>
      <c r="H298" s="218">
        <f ca="1">IF(ISERROR($V298),"",OFFSET('Smelter Look-up'!$G$4,$V298-4,0))</f>
        <v>0</v>
      </c>
      <c r="I298" s="219">
        <f ca="1">IF(ISERROR($V298),"",OFFSET('Smelter Look-up'!$H$4,$V298-4,0))</f>
        <v>0</v>
      </c>
      <c r="J298" s="219">
        <f ca="1">IF(ISERROR($V298),"",OFFSET('Smelter Look-up'!$I$4,$V298-4,0))</f>
        <v>0</v>
      </c>
      <c r="K298" s="273"/>
      <c r="L298" s="273"/>
      <c r="M298" s="273"/>
      <c r="N298" s="273"/>
      <c r="O298" s="273"/>
      <c r="P298" s="220"/>
      <c r="Q298" s="274"/>
      <c r="R298" s="217" t="str">
        <f ca="1">IF(ISERROR($V298),"",OFFSET('Smelter Look-up'!$C$4,$V298-4,0)&amp;"")</f>
        <v/>
      </c>
      <c r="S298" s="225" t="str">
        <f t="shared" ca="1" si="42"/>
        <v>JP</v>
      </c>
      <c r="T298" s="225" t="str">
        <f ca="1">IF(B298="","",IF(ISERROR(MATCH($J298,SorP!$B$1:$B$6230,0)),"",INDIRECT("'SorP'!$A$"&amp;MATCH($J298,SorP!$B$1:$B$6230,0))))</f>
        <v/>
      </c>
      <c r="U298" s="241"/>
      <c r="V298" s="275">
        <f>IF(C298="",NA(),MATCH($B298&amp;$C298,'Smelter Look-up'!$J:$J,0))</f>
        <v>293</v>
      </c>
      <c r="W298" s="276"/>
      <c r="X298" s="276">
        <f t="shared" si="43"/>
        <v>0</v>
      </c>
      <c r="Y298" s="276"/>
      <c r="Z298" s="276"/>
      <c r="AB298" s="278" t="str">
        <f t="shared" si="44"/>
        <v>GoldSmelter not listed</v>
      </c>
    </row>
    <row r="299" spans="1:28" s="277" customFormat="1" ht="94.5">
      <c r="A299" s="216"/>
      <c r="B299" s="217" t="s">
        <v>1155</v>
      </c>
      <c r="C299" s="221" t="s">
        <v>1053</v>
      </c>
      <c r="D299" s="283" t="s">
        <v>1053</v>
      </c>
      <c r="E299" s="217" t="s">
        <v>1123</v>
      </c>
      <c r="F299" s="217" t="s">
        <v>776</v>
      </c>
      <c r="G299" s="217" t="s">
        <v>15513</v>
      </c>
      <c r="H299" s="218">
        <f ca="1">IF(ISERROR($V299),"",OFFSET('Smelter Look-up'!$G$4,$V299-4,0))</f>
        <v>0</v>
      </c>
      <c r="I299" s="219" t="str">
        <f ca="1">IF(ISERROR($V299),"",OFFSET('Smelter Look-up'!$H$4,$V299-4,0))</f>
        <v>Shizuishan City</v>
      </c>
      <c r="J299" s="219" t="str">
        <f ca="1">IF(ISERROR($V299),"",OFFSET('Smelter Look-up'!$I$4,$V299-4,0))</f>
        <v>Ningxia Huizi Zizhiqu</v>
      </c>
      <c r="K299" s="273"/>
      <c r="L299" s="273"/>
      <c r="M299" s="273"/>
      <c r="N299" s="273"/>
      <c r="O299" s="273"/>
      <c r="P299" s="220"/>
      <c r="Q299" s="274"/>
      <c r="R299" s="217" t="str">
        <f ca="1">IF(ISERROR($V299),"",OFFSET('Smelter Look-up'!$C$4,$V299-4,0)&amp;"")</f>
        <v>Ningxia Orient Tantalum Industry Co., Ltd.</v>
      </c>
      <c r="S299" s="225" t="str">
        <f t="shared" ca="1" si="42"/>
        <v>CN</v>
      </c>
      <c r="T299" s="225" t="str">
        <f ca="1">IF(B299="","",IF(ISERROR(MATCH($J299,SorP!$B$1:$B$6230,0)),"",INDIRECT("'SorP'!$A$"&amp;MATCH($J299,SorP!$B$1:$B$6230,0))))</f>
        <v>CN-NX</v>
      </c>
      <c r="U299" s="241"/>
      <c r="V299" s="275">
        <f>IF(C299="",NA(),MATCH($B299&amp;$C299,'Smelter Look-up'!$J:$J,0))</f>
        <v>331</v>
      </c>
      <c r="W299" s="276"/>
      <c r="X299" s="276">
        <f t="shared" si="43"/>
        <v>0</v>
      </c>
      <c r="Y299" s="276"/>
      <c r="Z299" s="276"/>
      <c r="AB299" s="278" t="str">
        <f t="shared" si="44"/>
        <v>TantalumNingxia Orient Tantalum Industry Co., Ltd.</v>
      </c>
    </row>
    <row r="300" spans="1:28" s="277" customFormat="1" ht="81">
      <c r="A300" s="216"/>
      <c r="B300" s="217" t="s">
        <v>1154</v>
      </c>
      <c r="C300" s="221" t="s">
        <v>1898</v>
      </c>
      <c r="D300" s="283" t="s">
        <v>15670</v>
      </c>
      <c r="E300" s="217" t="s">
        <v>906</v>
      </c>
      <c r="F300" s="217" t="s">
        <v>15671</v>
      </c>
      <c r="G300" s="217" t="s">
        <v>13577</v>
      </c>
      <c r="H300" s="218" t="s">
        <v>15672</v>
      </c>
      <c r="I300" s="219" t="s">
        <v>14250</v>
      </c>
      <c r="J300" s="219" t="s">
        <v>14250</v>
      </c>
      <c r="K300" s="273" t="s">
        <v>15673</v>
      </c>
      <c r="L300" s="273" t="s">
        <v>15674</v>
      </c>
      <c r="M300" s="273"/>
      <c r="N300" s="273"/>
      <c r="O300" s="273" t="s">
        <v>15675</v>
      </c>
      <c r="P300" s="220"/>
      <c r="Q300" s="274"/>
      <c r="R300" s="217" t="str">
        <f ca="1">IF(ISERROR($V300),"",OFFSET('Smelter Look-up'!$C$4,$V300-4,0)&amp;"")</f>
        <v/>
      </c>
      <c r="S300" s="225" t="str">
        <f t="shared" ca="1" si="42"/>
        <v>RU</v>
      </c>
      <c r="T300" s="225" t="str">
        <f ca="1">IF(B300="","",IF(ISERROR(MATCH($J300,SorP!$B$1:$B$6230,0)),"",INDIRECT("'SorP'!$A$"&amp;MATCH($J300,SorP!$B$1:$B$6230,0))))</f>
        <v/>
      </c>
      <c r="U300" s="241"/>
      <c r="V300" s="275">
        <f>IF(C300="",NA(),MATCH($B300&amp;$C300,'Smelter Look-up'!$J:$J,0))</f>
        <v>484</v>
      </c>
      <c r="W300" s="276"/>
      <c r="X300" s="276">
        <f t="shared" si="43"/>
        <v>0</v>
      </c>
      <c r="Y300" s="276"/>
      <c r="Z300" s="276"/>
      <c r="AB300" s="278" t="str">
        <f t="shared" si="44"/>
        <v>TinSmelter not listed</v>
      </c>
    </row>
    <row r="301" spans="1:28" s="277" customFormat="1" ht="54">
      <c r="A301" s="216"/>
      <c r="B301" s="217" t="s">
        <v>1155</v>
      </c>
      <c r="C301" s="221" t="s">
        <v>1898</v>
      </c>
      <c r="D301" s="283" t="s">
        <v>15676</v>
      </c>
      <c r="E301" s="217" t="s">
        <v>14433</v>
      </c>
      <c r="F301" s="217" t="s">
        <v>14250</v>
      </c>
      <c r="G301" s="217" t="s">
        <v>14250</v>
      </c>
      <c r="H301" s="218" t="s">
        <v>15676</v>
      </c>
      <c r="I301" s="219" t="s">
        <v>2481</v>
      </c>
      <c r="J301" s="219" t="s">
        <v>2481</v>
      </c>
      <c r="K301" s="273" t="s">
        <v>15676</v>
      </c>
      <c r="L301" s="273"/>
      <c r="M301" s="273"/>
      <c r="N301" s="273"/>
      <c r="O301" s="273"/>
      <c r="P301" s="220"/>
      <c r="Q301" s="274" t="s">
        <v>15677</v>
      </c>
      <c r="R301" s="217" t="str">
        <f ca="1">IF(ISERROR($V301),"",OFFSET('Smelter Look-up'!$C$4,$V301-4,0)&amp;"")</f>
        <v/>
      </c>
      <c r="S301" s="225" t="str">
        <f t="shared" ca="1" si="42"/>
        <v>MK</v>
      </c>
      <c r="T301" s="225" t="str">
        <f ca="1">IF(B301="","",IF(ISERROR(MATCH($J301,SorP!$B$1:$B$6230,0)),"",INDIRECT("'SorP'!$A$"&amp;MATCH($J301,SorP!$B$1:$B$6230,0))))</f>
        <v>MK-85</v>
      </c>
      <c r="U301" s="241"/>
      <c r="V301" s="275">
        <f>IF(C301="",NA(),MATCH($B301&amp;$C301,'Smelter Look-up'!$J:$J,0))</f>
        <v>353</v>
      </c>
      <c r="W301" s="276"/>
      <c r="X301" s="276">
        <f t="shared" si="43"/>
        <v>0</v>
      </c>
      <c r="Y301" s="276"/>
      <c r="Z301" s="276"/>
      <c r="AB301" s="278" t="str">
        <f t="shared" si="44"/>
        <v>TantalumSmelter not listed</v>
      </c>
    </row>
    <row r="302" spans="1:28" s="277" customFormat="1" ht="54">
      <c r="A302" s="216"/>
      <c r="B302" s="217" t="s">
        <v>1155</v>
      </c>
      <c r="C302" s="221" t="s">
        <v>2675</v>
      </c>
      <c r="D302" s="283" t="s">
        <v>2675</v>
      </c>
      <c r="E302" s="217" t="s">
        <v>1126</v>
      </c>
      <c r="F302" s="217" t="s">
        <v>775</v>
      </c>
      <c r="G302" s="217" t="s">
        <v>15513</v>
      </c>
      <c r="H302" s="218">
        <f ca="1">IF(ISERROR($V302),"",OFFSET('Smelter Look-up'!$G$4,$V302-4,0))</f>
        <v>0</v>
      </c>
      <c r="I302" s="219" t="str">
        <f ca="1">IF(ISERROR($V302),"",OFFSET('Smelter Look-up'!$H$4,$V302-4,0))</f>
        <v>Sillamäe</v>
      </c>
      <c r="J302" s="219" t="str">
        <f ca="1">IF(ISERROR($V302),"",OFFSET('Smelter Look-up'!$I$4,$V302-4,0))</f>
        <v>Ida-Virumaa</v>
      </c>
      <c r="K302" s="273"/>
      <c r="L302" s="273"/>
      <c r="M302" s="273"/>
      <c r="N302" s="273"/>
      <c r="O302" s="273"/>
      <c r="P302" s="220"/>
      <c r="Q302" s="274"/>
      <c r="R302" s="217" t="str">
        <f ca="1">IF(ISERROR($V302),"",OFFSET('Smelter Look-up'!$C$4,$V302-4,0)&amp;"")</f>
        <v>NPM Silmet AS</v>
      </c>
      <c r="S302" s="225" t="str">
        <f t="shared" ca="1" si="42"/>
        <v>EE</v>
      </c>
      <c r="T302" s="225" t="str">
        <f ca="1">IF(B302="","",IF(ISERROR(MATCH($J302,SorP!$B$1:$B$6230,0)),"",INDIRECT("'SorP'!$A$"&amp;MATCH($J302,SorP!$B$1:$B$6230,0))))</f>
        <v>EE-44</v>
      </c>
      <c r="U302" s="241"/>
      <c r="V302" s="275">
        <f>IF(C302="",NA(),MATCH($B302&amp;$C302,'Smelter Look-up'!$J:$J,0))</f>
        <v>332</v>
      </c>
      <c r="W302" s="276"/>
      <c r="X302" s="276">
        <f t="shared" si="43"/>
        <v>0</v>
      </c>
      <c r="Y302" s="276"/>
      <c r="Z302" s="276"/>
      <c r="AB302" s="278" t="str">
        <f t="shared" si="44"/>
        <v>TantalumNPM Silmet AS</v>
      </c>
    </row>
    <row r="303" spans="1:28" s="277" customFormat="1" ht="67.5">
      <c r="A303" s="216"/>
      <c r="B303" s="217" t="s">
        <v>1156</v>
      </c>
      <c r="C303" s="221" t="s">
        <v>14231</v>
      </c>
      <c r="D303" s="283" t="s">
        <v>14231</v>
      </c>
      <c r="E303" s="217" t="s">
        <v>906</v>
      </c>
      <c r="F303" s="217" t="s">
        <v>14247</v>
      </c>
      <c r="G303" s="217" t="s">
        <v>13577</v>
      </c>
      <c r="H303" s="218" t="s">
        <v>14250</v>
      </c>
      <c r="I303" s="219" t="s">
        <v>14257</v>
      </c>
      <c r="J303" s="219" t="s">
        <v>14258</v>
      </c>
      <c r="K303" s="273" t="s">
        <v>15678</v>
      </c>
      <c r="L303" s="273" t="s">
        <v>15679</v>
      </c>
      <c r="M303" s="273"/>
      <c r="N303" s="273"/>
      <c r="O303" s="273" t="s">
        <v>15521</v>
      </c>
      <c r="P303" s="220"/>
      <c r="Q303" s="274"/>
      <c r="R303" s="217" t="str">
        <f ca="1">IF(ISERROR($V303),"",OFFSET('Smelter Look-up'!$C$4,$V303-4,0)&amp;"")</f>
        <v>NPP Tyazhmetprom LLC</v>
      </c>
      <c r="S303" s="225" t="str">
        <f t="shared" ca="1" si="42"/>
        <v>RU</v>
      </c>
      <c r="T303" s="225" t="str">
        <f ca="1">IF(B303="","",IF(ISERROR(MATCH($J303,SorP!$B$1:$B$6230,0)),"",INDIRECT("'SorP'!$A$"&amp;MATCH($J303,SorP!$B$1:$B$6230,0))))</f>
        <v>RU-CHE</v>
      </c>
      <c r="U303" s="241"/>
      <c r="V303" s="275">
        <f>IF(C303="",NA(),MATCH($B303&amp;$C303,'Smelter Look-up'!$J:$J,0))</f>
        <v>545</v>
      </c>
      <c r="W303" s="276"/>
      <c r="X303" s="276">
        <f t="shared" si="43"/>
        <v>0</v>
      </c>
      <c r="Y303" s="276"/>
      <c r="Z303" s="276"/>
      <c r="AB303" s="278" t="str">
        <f t="shared" si="44"/>
        <v>TungstenNPP Tyazhmetprom LLC</v>
      </c>
    </row>
    <row r="304" spans="1:28" s="277" customFormat="1" ht="40.5">
      <c r="A304" s="216"/>
      <c r="B304" s="217" t="s">
        <v>1153</v>
      </c>
      <c r="C304" s="221" t="s">
        <v>1898</v>
      </c>
      <c r="D304" s="283" t="s">
        <v>15680</v>
      </c>
      <c r="E304" s="217" t="s">
        <v>2576</v>
      </c>
      <c r="F304" s="217" t="s">
        <v>14250</v>
      </c>
      <c r="G304" s="217" t="s">
        <v>14250</v>
      </c>
      <c r="H304" s="218">
        <f ca="1">IF(ISERROR($V304),"",OFFSET('Smelter Look-up'!$G$4,$V304-4,0))</f>
        <v>0</v>
      </c>
      <c r="I304" s="219">
        <f ca="1">IF(ISERROR($V304),"",OFFSET('Smelter Look-up'!$H$4,$V304-4,0))</f>
        <v>0</v>
      </c>
      <c r="J304" s="219">
        <f ca="1">IF(ISERROR($V304),"",OFFSET('Smelter Look-up'!$I$4,$V304-4,0))</f>
        <v>0</v>
      </c>
      <c r="K304" s="273"/>
      <c r="L304" s="273"/>
      <c r="M304" s="273"/>
      <c r="N304" s="273"/>
      <c r="O304" s="273"/>
      <c r="P304" s="220"/>
      <c r="Q304" s="274"/>
      <c r="R304" s="217" t="str">
        <f ca="1">IF(ISERROR($V304),"",OFFSET('Smelter Look-up'!$C$4,$V304-4,0)&amp;"")</f>
        <v/>
      </c>
      <c r="S304" s="225" t="str">
        <f t="shared" ca="1" si="42"/>
        <v>US</v>
      </c>
      <c r="T304" s="225" t="str">
        <f ca="1">IF(B304="","",IF(ISERROR(MATCH($J304,SorP!$B$1:$B$6230,0)),"",INDIRECT("'SorP'!$A$"&amp;MATCH($J304,SorP!$B$1:$B$6230,0))))</f>
        <v/>
      </c>
      <c r="U304" s="241"/>
      <c r="V304" s="275">
        <f>IF(C304="",NA(),MATCH($B304&amp;$C304,'Smelter Look-up'!$J:$J,0))</f>
        <v>293</v>
      </c>
      <c r="W304" s="276"/>
      <c r="X304" s="276">
        <f t="shared" si="43"/>
        <v>0</v>
      </c>
      <c r="Y304" s="276"/>
      <c r="Z304" s="276"/>
      <c r="AB304" s="278" t="str">
        <f t="shared" si="44"/>
        <v>GoldSmelter not listed</v>
      </c>
    </row>
    <row r="305" spans="1:28" s="277" customFormat="1" ht="81">
      <c r="A305" s="216"/>
      <c r="B305" s="217" t="s">
        <v>1154</v>
      </c>
      <c r="C305" s="221" t="s">
        <v>796</v>
      </c>
      <c r="D305" s="283" t="s">
        <v>796</v>
      </c>
      <c r="E305" s="217" t="s">
        <v>911</v>
      </c>
      <c r="F305" s="217" t="s">
        <v>797</v>
      </c>
      <c r="G305" s="217" t="s">
        <v>15513</v>
      </c>
      <c r="H305" s="218">
        <f ca="1">IF(ISERROR($V305),"",OFFSET('Smelter Look-up'!$G$4,$V305-4,0))</f>
        <v>0</v>
      </c>
      <c r="I305" s="219" t="str">
        <f ca="1">IF(ISERROR($V305),"",OFFSET('Smelter Look-up'!$H$4,$V305-4,0))</f>
        <v>Nongkham Sriracha</v>
      </c>
      <c r="J305" s="219" t="str">
        <f ca="1">IF(ISERROR($V305),"",OFFSET('Smelter Look-up'!$I$4,$V305-4,0))</f>
        <v>Chon Buri</v>
      </c>
      <c r="K305" s="273"/>
      <c r="L305" s="273"/>
      <c r="M305" s="273"/>
      <c r="N305" s="273"/>
      <c r="O305" s="273"/>
      <c r="P305" s="220"/>
      <c r="Q305" s="274"/>
      <c r="R305" s="217" t="str">
        <f ca="1">IF(ISERROR($V305),"",OFFSET('Smelter Look-up'!$C$4,$V305-4,0)&amp;"")</f>
        <v>O.M. Manufacturing (Thailand) Co., Ltd.</v>
      </c>
      <c r="S305" s="225" t="str">
        <f t="shared" ca="1" si="42"/>
        <v>TH</v>
      </c>
      <c r="T305" s="225" t="str">
        <f ca="1">IF(B305="","",IF(ISERROR(MATCH($J305,SorP!$B$1:$B$6230,0)),"",INDIRECT("'SorP'!$A$"&amp;MATCH($J305,SorP!$B$1:$B$6230,0))))</f>
        <v>TH-20</v>
      </c>
      <c r="U305" s="241"/>
      <c r="V305" s="275">
        <f>IF(C305="",NA(),MATCH($B305&amp;$C305,'Smelter Look-up'!$J:$J,0))</f>
        <v>431</v>
      </c>
      <c r="W305" s="276"/>
      <c r="X305" s="276">
        <f t="shared" si="43"/>
        <v>0</v>
      </c>
      <c r="Y305" s="276"/>
      <c r="Z305" s="276"/>
      <c r="AB305" s="278" t="str">
        <f t="shared" si="44"/>
        <v>TinO.M. Manufacturing (Thailand) Co., Ltd.</v>
      </c>
    </row>
    <row r="306" spans="1:28" s="277" customFormat="1" ht="67.5">
      <c r="A306" s="216"/>
      <c r="B306" s="217" t="s">
        <v>1154</v>
      </c>
      <c r="C306" s="221" t="s">
        <v>1424</v>
      </c>
      <c r="D306" s="283" t="s">
        <v>1424</v>
      </c>
      <c r="E306" s="217" t="s">
        <v>904</v>
      </c>
      <c r="F306" s="217" t="s">
        <v>1425</v>
      </c>
      <c r="G306" s="217" t="s">
        <v>15513</v>
      </c>
      <c r="H306" s="218">
        <f ca="1">IF(ISERROR($V306),"",OFFSET('Smelter Look-up'!$G$4,$V306-4,0))</f>
        <v>0</v>
      </c>
      <c r="I306" s="219" t="str">
        <f ca="1">IF(ISERROR($V306),"",OFFSET('Smelter Look-up'!$H$4,$V306-4,0))</f>
        <v>Rosario</v>
      </c>
      <c r="J306" s="219" t="str">
        <f ca="1">IF(ISERROR($V306),"",OFFSET('Smelter Look-up'!$I$4,$V306-4,0))</f>
        <v>Cavite</v>
      </c>
      <c r="K306" s="273"/>
      <c r="L306" s="273"/>
      <c r="M306" s="273"/>
      <c r="N306" s="273"/>
      <c r="O306" s="273"/>
      <c r="P306" s="220"/>
      <c r="Q306" s="274"/>
      <c r="R306" s="217" t="str">
        <f ca="1">IF(ISERROR($V306),"",OFFSET('Smelter Look-up'!$C$4,$V306-4,0)&amp;"")</f>
        <v>O.M. Manufacturing Philippines, Inc.</v>
      </c>
      <c r="S306" s="225" t="str">
        <f t="shared" ca="1" si="42"/>
        <v>PH</v>
      </c>
      <c r="T306" s="225" t="str">
        <f ca="1">IF(B306="","",IF(ISERROR(MATCH($J306,SorP!$B$1:$B$6230,0)),"",INDIRECT("'SorP'!$A$"&amp;MATCH($J306,SorP!$B$1:$B$6230,0))))</f>
        <v>PH-CAV</v>
      </c>
      <c r="U306" s="241"/>
      <c r="V306" s="275">
        <f>IF(C306="",NA(),MATCH($B306&amp;$C306,'Smelter Look-up'!$J:$J,0))</f>
        <v>432</v>
      </c>
      <c r="W306" s="276"/>
      <c r="X306" s="276">
        <f t="shared" si="43"/>
        <v>0</v>
      </c>
      <c r="Y306" s="276"/>
      <c r="Z306" s="276"/>
      <c r="AB306" s="278" t="str">
        <f t="shared" si="44"/>
        <v>TinO.M. Manufacturing Philippines, Inc.</v>
      </c>
    </row>
    <row r="307" spans="1:28" s="277" customFormat="1" ht="135">
      <c r="A307" s="216"/>
      <c r="B307" s="217" t="s">
        <v>1153</v>
      </c>
      <c r="C307" s="221" t="s">
        <v>12762</v>
      </c>
      <c r="D307" s="283" t="s">
        <v>12762</v>
      </c>
      <c r="E307" s="217" t="s">
        <v>1117</v>
      </c>
      <c r="F307" s="217" t="s">
        <v>2316</v>
      </c>
      <c r="G307" s="217" t="s">
        <v>15513</v>
      </c>
      <c r="H307" s="218">
        <f ca="1">IF(ISERROR($V307),"",OFFSET('Smelter Look-up'!$G$4,$V307-4,0))</f>
        <v>0</v>
      </c>
      <c r="I307" s="219" t="str">
        <f ca="1">IF(ISERROR($V307),"",OFFSET('Smelter Look-up'!$H$4,$V307-4,0))</f>
        <v>Vienna</v>
      </c>
      <c r="J307" s="219" t="str">
        <f ca="1">IF(ISERROR($V307),"",OFFSET('Smelter Look-up'!$I$4,$V307-4,0))</f>
        <v>Wien</v>
      </c>
      <c r="K307" s="273"/>
      <c r="L307" s="273"/>
      <c r="M307" s="273"/>
      <c r="N307" s="273"/>
      <c r="O307" s="273"/>
      <c r="P307" s="220"/>
      <c r="Q307" s="274"/>
      <c r="R307" s="217" t="str">
        <f ca="1">IF(ISERROR($V307),"",OFFSET('Smelter Look-up'!$C$4,$V307-4,0)&amp;"")</f>
        <v>Ogussa Osterreichische Gold- und Silber-Scheideanstalt GmbH</v>
      </c>
      <c r="S307" s="225" t="str">
        <f t="shared" ca="1" si="42"/>
        <v>AT</v>
      </c>
      <c r="T307" s="225" t="str">
        <f ca="1">IF(B307="","",IF(ISERROR(MATCH($J307,SorP!$B$1:$B$6230,0)),"",INDIRECT("'SorP'!$A$"&amp;MATCH($J307,SorP!$B$1:$B$6230,0))))</f>
        <v>AT-9</v>
      </c>
      <c r="U307" s="241"/>
      <c r="V307" s="275">
        <f>IF(C307="",NA(),MATCH($B307&amp;$C307,'Smelter Look-up'!$J:$J,0))</f>
        <v>178</v>
      </c>
      <c r="W307" s="276"/>
      <c r="X307" s="276">
        <f t="shared" si="43"/>
        <v>0</v>
      </c>
      <c r="Y307" s="276"/>
      <c r="Z307" s="276"/>
      <c r="AB307" s="278" t="str">
        <f t="shared" si="44"/>
        <v>GoldOgussa Osterreichische Gold- und Silber-Scheideanstalt GmbH</v>
      </c>
    </row>
    <row r="308" spans="1:28" s="277" customFormat="1" ht="81">
      <c r="A308" s="216"/>
      <c r="B308" s="217" t="s">
        <v>1153</v>
      </c>
      <c r="C308" s="221" t="s">
        <v>2260</v>
      </c>
      <c r="D308" s="283" t="s">
        <v>2260</v>
      </c>
      <c r="E308" s="217" t="s">
        <v>1131</v>
      </c>
      <c r="F308" s="217" t="s">
        <v>732</v>
      </c>
      <c r="G308" s="217" t="s">
        <v>15513</v>
      </c>
      <c r="H308" s="218">
        <f ca="1">IF(ISERROR($V308),"",OFFSET('Smelter Look-up'!$G$4,$V308-4,0))</f>
        <v>0</v>
      </c>
      <c r="I308" s="219" t="str">
        <f ca="1">IF(ISERROR($V308),"",OFFSET('Smelter Look-up'!$H$4,$V308-4,0))</f>
        <v>Nara-shi</v>
      </c>
      <c r="J308" s="219" t="str">
        <f ca="1">IF(ISERROR($V308),"",OFFSET('Smelter Look-up'!$I$4,$V308-4,0))</f>
        <v>Nara</v>
      </c>
      <c r="K308" s="273"/>
      <c r="L308" s="273"/>
      <c r="M308" s="273"/>
      <c r="N308" s="273"/>
      <c r="O308" s="273"/>
      <c r="P308" s="220"/>
      <c r="Q308" s="274"/>
      <c r="R308" s="217" t="str">
        <f ca="1">IF(ISERROR($V308),"",OFFSET('Smelter Look-up'!$C$4,$V308-4,0)&amp;"")</f>
        <v>Ohura Precious Metal Industry Co., Ltd.</v>
      </c>
      <c r="S308" s="225" t="str">
        <f t="shared" ca="1" si="42"/>
        <v>JP</v>
      </c>
      <c r="T308" s="225" t="str">
        <f ca="1">IF(B308="","",IF(ISERROR(MATCH($J308,SorP!$B$1:$B$6230,0)),"",INDIRECT("'SorP'!$A$"&amp;MATCH($J308,SorP!$B$1:$B$6230,0))))</f>
        <v>JP-29</v>
      </c>
      <c r="U308" s="241"/>
      <c r="V308" s="275">
        <f>IF(C308="",NA(),MATCH($B308&amp;$C308,'Smelter Look-up'!$J:$J,0))</f>
        <v>180</v>
      </c>
      <c r="W308" s="276"/>
      <c r="X308" s="276">
        <f t="shared" si="43"/>
        <v>0</v>
      </c>
      <c r="Y308" s="276"/>
      <c r="Z308" s="276"/>
      <c r="AB308" s="278" t="str">
        <f t="shared" si="44"/>
        <v>GoldOhura Precious Metal Industry Co., Ltd.</v>
      </c>
    </row>
    <row r="309" spans="1:28" s="277" customFormat="1" ht="148.5">
      <c r="A309" s="216"/>
      <c r="B309" s="217" t="s">
        <v>1153</v>
      </c>
      <c r="C309" s="221" t="s">
        <v>2369</v>
      </c>
      <c r="D309" s="283" t="s">
        <v>2369</v>
      </c>
      <c r="E309" s="217" t="s">
        <v>906</v>
      </c>
      <c r="F309" s="217" t="s">
        <v>733</v>
      </c>
      <c r="G309" s="217" t="s">
        <v>15513</v>
      </c>
      <c r="H309" s="218">
        <f ca="1">IF(ISERROR($V309),"",OFFSET('Smelter Look-up'!$G$4,$V309-4,0))</f>
        <v>0</v>
      </c>
      <c r="I309" s="219" t="str">
        <f ca="1">IF(ISERROR($V309),"",OFFSET('Smelter Look-up'!$H$4,$V309-4,0))</f>
        <v>Krasnoyarsk</v>
      </c>
      <c r="J309" s="219" t="str">
        <f ca="1">IF(ISERROR($V309),"",OFFSET('Smelter Look-up'!$I$4,$V309-4,0))</f>
        <v>Krasnoyarskiy kray</v>
      </c>
      <c r="K309" s="273"/>
      <c r="L309" s="273"/>
      <c r="M309" s="273"/>
      <c r="N309" s="273"/>
      <c r="O309" s="273"/>
      <c r="P309" s="220"/>
      <c r="Q309" s="274"/>
      <c r="R309" s="217" t="str">
        <f ca="1">IF(ISERROR($V309),"",OFFSET('Smelter Look-up'!$C$4,$V309-4,0)&amp;"")</f>
        <v>OJSC "The Gulidov Krasnoyarsk Non-Ferrous Metals Plant" (OJSC Krastsvetmet)</v>
      </c>
      <c r="S309" s="225" t="str">
        <f t="shared" ca="1" si="42"/>
        <v>RU</v>
      </c>
      <c r="T309" s="225" t="str">
        <f ca="1">IF(B309="","",IF(ISERROR(MATCH($J309,SorP!$B$1:$B$6230,0)),"",INDIRECT("'SorP'!$A$"&amp;MATCH($J309,SorP!$B$1:$B$6230,0))))</f>
        <v>RU-KYA</v>
      </c>
      <c r="U309" s="241"/>
      <c r="V309" s="275">
        <f>IF(C309="",NA(),MATCH($B309&amp;$C309,'Smelter Look-up'!$J:$J,0))</f>
        <v>181</v>
      </c>
      <c r="W309" s="276"/>
      <c r="X309" s="276">
        <f t="shared" si="43"/>
        <v>0</v>
      </c>
      <c r="Y309" s="276"/>
      <c r="Z309" s="276"/>
      <c r="AB309" s="278" t="str">
        <f t="shared" si="44"/>
        <v>GoldOJSC "The Gulidov Krasnoyarsk Non-Ferrous Metals Plant" (OJSC Krastsvetmet)</v>
      </c>
    </row>
    <row r="310" spans="1:28" s="277" customFormat="1" ht="67.5">
      <c r="A310" s="216"/>
      <c r="B310" s="217" t="s">
        <v>1153</v>
      </c>
      <c r="C310" s="221" t="s">
        <v>2308</v>
      </c>
      <c r="D310" s="283" t="s">
        <v>2308</v>
      </c>
      <c r="E310" s="217" t="s">
        <v>906</v>
      </c>
      <c r="F310" s="217" t="s">
        <v>690</v>
      </c>
      <c r="G310" s="217" t="s">
        <v>15513</v>
      </c>
      <c r="H310" s="218">
        <f ca="1">IF(ISERROR($V310),"",OFFSET('Smelter Look-up'!$G$4,$V310-4,0))</f>
        <v>0</v>
      </c>
      <c r="I310" s="219" t="str">
        <f ca="1">IF(ISERROR($V310),"",OFFSET('Smelter Look-up'!$H$4,$V310-4,0))</f>
        <v>Novosibirsk</v>
      </c>
      <c r="J310" s="219" t="str">
        <f ca="1">IF(ISERROR($V310),"",OFFSET('Smelter Look-up'!$I$4,$V310-4,0))</f>
        <v>Novosibirskaya oblast'</v>
      </c>
      <c r="K310" s="273"/>
      <c r="L310" s="273"/>
      <c r="M310" s="273"/>
      <c r="N310" s="273"/>
      <c r="O310" s="273"/>
      <c r="P310" s="220"/>
      <c r="Q310" s="274"/>
      <c r="R310" s="217" t="str">
        <f ca="1">IF(ISERROR($V310),"",OFFSET('Smelter Look-up'!$C$4,$V310-4,0)&amp;"")</f>
        <v>OJSC Novosibirsk Refinery</v>
      </c>
      <c r="S310" s="225" t="str">
        <f t="shared" ca="1" si="42"/>
        <v>RU</v>
      </c>
      <c r="T310" s="225" t="str">
        <f ca="1">IF(B310="","",IF(ISERROR(MATCH($J310,SorP!$B$1:$B$6230,0)),"",INDIRECT("'SorP'!$A$"&amp;MATCH($J310,SorP!$B$1:$B$6230,0))))</f>
        <v>RU-NVS</v>
      </c>
      <c r="U310" s="241"/>
      <c r="V310" s="275">
        <f>IF(C310="",NA(),MATCH($B310&amp;$C310,'Smelter Look-up'!$J:$J,0))</f>
        <v>183</v>
      </c>
      <c r="W310" s="276"/>
      <c r="X310" s="276">
        <f t="shared" si="43"/>
        <v>0</v>
      </c>
      <c r="Y310" s="276"/>
      <c r="Z310" s="276"/>
      <c r="AB310" s="278" t="str">
        <f t="shared" si="44"/>
        <v>GoldOJSC Novosibirsk Refinery</v>
      </c>
    </row>
    <row r="311" spans="1:28" s="277" customFormat="1" ht="40.5">
      <c r="A311" s="216"/>
      <c r="B311" s="217" t="s">
        <v>1154</v>
      </c>
      <c r="C311" s="221" t="s">
        <v>1898</v>
      </c>
      <c r="D311" s="283" t="s">
        <v>15681</v>
      </c>
      <c r="E311" s="217" t="s">
        <v>1123</v>
      </c>
      <c r="F311" s="217" t="s">
        <v>14250</v>
      </c>
      <c r="G311" s="217" t="s">
        <v>14250</v>
      </c>
      <c r="H311" s="218">
        <f ca="1">IF(ISERROR($V311),"",OFFSET('Smelter Look-up'!$G$4,$V311-4,0))</f>
        <v>0</v>
      </c>
      <c r="I311" s="219">
        <f ca="1">IF(ISERROR($V311),"",OFFSET('Smelter Look-up'!$H$4,$V311-4,0))</f>
        <v>0</v>
      </c>
      <c r="J311" s="219">
        <f ca="1">IF(ISERROR($V311),"",OFFSET('Smelter Look-up'!$I$4,$V311-4,0))</f>
        <v>0</v>
      </c>
      <c r="K311" s="273"/>
      <c r="L311" s="273"/>
      <c r="M311" s="273"/>
      <c r="N311" s="273"/>
      <c r="O311" s="273"/>
      <c r="P311" s="220"/>
      <c r="Q311" s="274"/>
      <c r="R311" s="217" t="str">
        <f ca="1">IF(ISERROR($V311),"",OFFSET('Smelter Look-up'!$C$4,$V311-4,0)&amp;"")</f>
        <v/>
      </c>
      <c r="S311" s="225" t="str">
        <f t="shared" ca="1" si="42"/>
        <v>CN</v>
      </c>
      <c r="T311" s="225" t="str">
        <f ca="1">IF(B311="","",IF(ISERROR(MATCH($J311,SorP!$B$1:$B$6230,0)),"",INDIRECT("'SorP'!$A$"&amp;MATCH($J311,SorP!$B$1:$B$6230,0))))</f>
        <v/>
      </c>
      <c r="U311" s="241"/>
      <c r="V311" s="275">
        <f>IF(C311="",NA(),MATCH($B311&amp;$C311,'Smelter Look-up'!$J:$J,0))</f>
        <v>484</v>
      </c>
      <c r="W311" s="276"/>
      <c r="X311" s="276">
        <f t="shared" si="43"/>
        <v>0</v>
      </c>
      <c r="Y311" s="276"/>
      <c r="Z311" s="276"/>
      <c r="AB311" s="278" t="str">
        <f t="shared" si="44"/>
        <v>TinSmelter not listed</v>
      </c>
    </row>
    <row r="312" spans="1:28" s="277" customFormat="1" ht="40.5">
      <c r="A312" s="216"/>
      <c r="B312" s="217" t="s">
        <v>1154</v>
      </c>
      <c r="C312" s="221" t="s">
        <v>1898</v>
      </c>
      <c r="D312" s="283" t="s">
        <v>15682</v>
      </c>
      <c r="E312" s="217" t="s">
        <v>1130</v>
      </c>
      <c r="F312" s="217" t="s">
        <v>14250</v>
      </c>
      <c r="G312" s="217" t="s">
        <v>14250</v>
      </c>
      <c r="H312" s="218">
        <f ca="1">IF(ISERROR($V312),"",OFFSET('Smelter Look-up'!$G$4,$V312-4,0))</f>
        <v>0</v>
      </c>
      <c r="I312" s="219">
        <f ca="1">IF(ISERROR($V312),"",OFFSET('Smelter Look-up'!$H$4,$V312-4,0))</f>
        <v>0</v>
      </c>
      <c r="J312" s="219">
        <f ca="1">IF(ISERROR($V312),"",OFFSET('Smelter Look-up'!$I$4,$V312-4,0))</f>
        <v>0</v>
      </c>
      <c r="K312" s="273"/>
      <c r="L312" s="273"/>
      <c r="M312" s="273"/>
      <c r="N312" s="273"/>
      <c r="O312" s="273"/>
      <c r="P312" s="220"/>
      <c r="Q312" s="274"/>
      <c r="R312" s="217" t="str">
        <f ca="1">IF(ISERROR($V312),"",OFFSET('Smelter Look-up'!$C$4,$V312-4,0)&amp;"")</f>
        <v/>
      </c>
      <c r="S312" s="225" t="str">
        <f t="shared" ca="1" si="42"/>
        <v>IT</v>
      </c>
      <c r="T312" s="225" t="str">
        <f ca="1">IF(B312="","",IF(ISERROR(MATCH($J312,SorP!$B$1:$B$6230,0)),"",INDIRECT("'SorP'!$A$"&amp;MATCH($J312,SorP!$B$1:$B$6230,0))))</f>
        <v/>
      </c>
      <c r="U312" s="241"/>
      <c r="V312" s="275">
        <f>IF(C312="",NA(),MATCH($B312&amp;$C312,'Smelter Look-up'!$J:$J,0))</f>
        <v>484</v>
      </c>
      <c r="W312" s="276"/>
      <c r="X312" s="276">
        <f t="shared" si="43"/>
        <v>0</v>
      </c>
      <c r="Y312" s="276"/>
      <c r="Z312" s="276"/>
      <c r="AB312" s="278" t="str">
        <f t="shared" si="44"/>
        <v>TinSmelter not listed</v>
      </c>
    </row>
    <row r="313" spans="1:28" s="277" customFormat="1" ht="54">
      <c r="A313" s="216"/>
      <c r="B313" s="217" t="s">
        <v>1154</v>
      </c>
      <c r="C313" s="221" t="s">
        <v>14155</v>
      </c>
      <c r="D313" s="283" t="s">
        <v>14155</v>
      </c>
      <c r="E313" s="217" t="s">
        <v>2574</v>
      </c>
      <c r="F313" s="217" t="s">
        <v>798</v>
      </c>
      <c r="G313" s="217" t="s">
        <v>15513</v>
      </c>
      <c r="H313" s="218">
        <f ca="1">IF(ISERROR($V313),"",OFFSET('Smelter Look-up'!$G$4,$V313-4,0))</f>
        <v>0</v>
      </c>
      <c r="I313" s="219" t="str">
        <f ca="1">IF(ISERROR($V313),"",OFFSET('Smelter Look-up'!$H$4,$V313-4,0))</f>
        <v>Oruro</v>
      </c>
      <c r="J313" s="219" t="str">
        <f ca="1">IF(ISERROR($V313),"",OFFSET('Smelter Look-up'!$I$4,$V313-4,0))</f>
        <v>Oruro</v>
      </c>
      <c r="K313" s="273"/>
      <c r="L313" s="273"/>
      <c r="M313" s="273"/>
      <c r="N313" s="273"/>
      <c r="O313" s="273"/>
      <c r="P313" s="220"/>
      <c r="Q313" s="274"/>
      <c r="R313" s="217" t="str">
        <f ca="1">IF(ISERROR($V313),"",OFFSET('Smelter Look-up'!$C$4,$V313-4,0)&amp;"")</f>
        <v>Operaciones Metalurgicas S.A.</v>
      </c>
      <c r="S313" s="225" t="str">
        <f t="shared" ca="1" si="42"/>
        <v>BO</v>
      </c>
      <c r="T313" s="225" t="str">
        <f ca="1">IF(B313="","",IF(ISERROR(MATCH($J313,SorP!$B$1:$B$6230,0)),"",INDIRECT("'SorP'!$A$"&amp;MATCH($J313,SorP!$B$1:$B$6230,0))))</f>
        <v>BO-O</v>
      </c>
      <c r="U313" s="241"/>
      <c r="V313" s="275">
        <f>IF(C313="",NA(),MATCH($B313&amp;$C313,'Smelter Look-up'!$J:$J,0))</f>
        <v>434</v>
      </c>
      <c r="W313" s="276"/>
      <c r="X313" s="276">
        <f t="shared" si="43"/>
        <v>0</v>
      </c>
      <c r="Y313" s="276"/>
      <c r="Z313" s="276"/>
      <c r="AB313" s="278" t="str">
        <f t="shared" si="44"/>
        <v>TinOperaciones Metalurgicas S.A.</v>
      </c>
    </row>
    <row r="314" spans="1:28" s="277" customFormat="1" ht="27">
      <c r="A314" s="216"/>
      <c r="B314" s="217" t="s">
        <v>1153</v>
      </c>
      <c r="C314" s="221" t="s">
        <v>2439</v>
      </c>
      <c r="D314" s="283" t="s">
        <v>2439</v>
      </c>
      <c r="E314" s="217" t="s">
        <v>1121</v>
      </c>
      <c r="F314" s="217" t="s">
        <v>734</v>
      </c>
      <c r="G314" s="217" t="s">
        <v>15513</v>
      </c>
      <c r="H314" s="218">
        <f ca="1">IF(ISERROR($V314),"",OFFSET('Smelter Look-up'!$G$4,$V314-4,0))</f>
        <v>0</v>
      </c>
      <c r="I314" s="219" t="str">
        <f ca="1">IF(ISERROR($V314),"",OFFSET('Smelter Look-up'!$H$4,$V314-4,0))</f>
        <v>Castel San Pietro</v>
      </c>
      <c r="J314" s="219" t="str">
        <f ca="1">IF(ISERROR($V314),"",OFFSET('Smelter Look-up'!$I$4,$V314-4,0))</f>
        <v>Ticino</v>
      </c>
      <c r="K314" s="273"/>
      <c r="L314" s="273"/>
      <c r="M314" s="273"/>
      <c r="N314" s="273"/>
      <c r="O314" s="273"/>
      <c r="P314" s="220"/>
      <c r="Q314" s="274"/>
      <c r="R314" s="217" t="str">
        <f ca="1">IF(ISERROR($V314),"",OFFSET('Smelter Look-up'!$C$4,$V314-4,0)&amp;"")</f>
        <v>PAMP S.A.</v>
      </c>
      <c r="S314" s="225" t="str">
        <f t="shared" ca="1" si="42"/>
        <v>CH</v>
      </c>
      <c r="T314" s="225" t="str">
        <f ca="1">IF(B314="","",IF(ISERROR(MATCH($J314,SorP!$B$1:$B$6230,0)),"",INDIRECT("'SorP'!$A$"&amp;MATCH($J314,SorP!$B$1:$B$6230,0))))</f>
        <v>CH-TI</v>
      </c>
      <c r="U314" s="241"/>
      <c r="V314" s="275">
        <f>IF(C314="",NA(),MATCH($B314&amp;$C314,'Smelter Look-up'!$J:$J,0))</f>
        <v>184</v>
      </c>
      <c r="W314" s="276"/>
      <c r="X314" s="276">
        <f t="shared" si="43"/>
        <v>0</v>
      </c>
      <c r="Y314" s="276"/>
      <c r="Z314" s="276"/>
      <c r="AB314" s="278" t="str">
        <f t="shared" si="44"/>
        <v>GoldPAMP S.A.</v>
      </c>
    </row>
    <row r="315" spans="1:28" s="277" customFormat="1" ht="40.5">
      <c r="A315" s="216"/>
      <c r="B315" s="217" t="s">
        <v>1154</v>
      </c>
      <c r="C315" s="221" t="s">
        <v>1898</v>
      </c>
      <c r="D315" s="283" t="s">
        <v>15683</v>
      </c>
      <c r="E315" s="217" t="s">
        <v>2575</v>
      </c>
      <c r="F315" s="217" t="s">
        <v>14250</v>
      </c>
      <c r="G315" s="217" t="s">
        <v>14250</v>
      </c>
      <c r="H315" s="218">
        <f ca="1">IF(ISERROR($V315),"",OFFSET('Smelter Look-up'!$G$4,$V315-4,0))</f>
        <v>0</v>
      </c>
      <c r="I315" s="219">
        <f ca="1">IF(ISERROR($V315),"",OFFSET('Smelter Look-up'!$H$4,$V315-4,0))</f>
        <v>0</v>
      </c>
      <c r="J315" s="219">
        <f ca="1">IF(ISERROR($V315),"",OFFSET('Smelter Look-up'!$I$4,$V315-4,0))</f>
        <v>0</v>
      </c>
      <c r="K315" s="273"/>
      <c r="L315" s="273"/>
      <c r="M315" s="273"/>
      <c r="N315" s="273"/>
      <c r="O315" s="273"/>
      <c r="P315" s="220"/>
      <c r="Q315" s="274"/>
      <c r="R315" s="217" t="str">
        <f ca="1">IF(ISERROR($V315),"",OFFSET('Smelter Look-up'!$C$4,$V315-4,0)&amp;"")</f>
        <v/>
      </c>
      <c r="S315" s="225" t="str">
        <f t="shared" ca="1" si="42"/>
        <v>TW</v>
      </c>
      <c r="T315" s="225" t="str">
        <f ca="1">IF(B315="","",IF(ISERROR(MATCH($J315,SorP!$B$1:$B$6230,0)),"",INDIRECT("'SorP'!$A$"&amp;MATCH($J315,SorP!$B$1:$B$6230,0))))</f>
        <v/>
      </c>
      <c r="U315" s="241"/>
      <c r="V315" s="275">
        <f>IF(C315="",NA(),MATCH($B315&amp;$C315,'Smelter Look-up'!$J:$J,0))</f>
        <v>484</v>
      </c>
      <c r="W315" s="276"/>
      <c r="X315" s="276">
        <f t="shared" si="43"/>
        <v>0</v>
      </c>
      <c r="Y315" s="276"/>
      <c r="Z315" s="276"/>
      <c r="AB315" s="278" t="str">
        <f t="shared" si="44"/>
        <v>TinSmelter not listed</v>
      </c>
    </row>
    <row r="316" spans="1:28" s="277" customFormat="1" ht="40.5">
      <c r="A316" s="216"/>
      <c r="B316" s="217" t="s">
        <v>1153</v>
      </c>
      <c r="C316" s="221" t="s">
        <v>2585</v>
      </c>
      <c r="D316" s="283" t="s">
        <v>2585</v>
      </c>
      <c r="E316" s="217" t="s">
        <v>2576</v>
      </c>
      <c r="F316" s="217" t="s">
        <v>2586</v>
      </c>
      <c r="G316" s="217" t="s">
        <v>15513</v>
      </c>
      <c r="H316" s="218">
        <f ca="1">IF(ISERROR($V316),"",OFFSET('Smelter Look-up'!$G$4,$V316-4,0))</f>
        <v>0</v>
      </c>
      <c r="I316" s="219" t="str">
        <f ca="1">IF(ISERROR($V316),"",OFFSET('Smelter Look-up'!$H$4,$V316-4,0))</f>
        <v>Warwick</v>
      </c>
      <c r="J316" s="219" t="str">
        <f ca="1">IF(ISERROR($V316),"",OFFSET('Smelter Look-up'!$I$4,$V316-4,0))</f>
        <v>Rhode Island</v>
      </c>
      <c r="K316" s="273"/>
      <c r="L316" s="273"/>
      <c r="M316" s="273"/>
      <c r="N316" s="273"/>
      <c r="O316" s="273"/>
      <c r="P316" s="220"/>
      <c r="Q316" s="274"/>
      <c r="R316" s="217" t="str">
        <f ca="1">IF(ISERROR($V316),"",OFFSET('Smelter Look-up'!$C$4,$V316-4,0)&amp;"")</f>
        <v>Pease &amp; Curren</v>
      </c>
      <c r="S316" s="225" t="str">
        <f t="shared" ca="1" si="42"/>
        <v>US</v>
      </c>
      <c r="T316" s="225" t="str">
        <f ca="1">IF(B316="","",IF(ISERROR(MATCH($J316,SorP!$B$1:$B$6230,0)),"",INDIRECT("'SorP'!$A$"&amp;MATCH($J316,SorP!$B$1:$B$6230,0))))</f>
        <v>US-RI</v>
      </c>
      <c r="U316" s="241"/>
      <c r="V316" s="275">
        <f>IF(C316="",NA(),MATCH($B316&amp;$C316,'Smelter Look-up'!$J:$J,0))</f>
        <v>186</v>
      </c>
      <c r="W316" s="276"/>
      <c r="X316" s="276">
        <f t="shared" si="43"/>
        <v>0</v>
      </c>
      <c r="Y316" s="276"/>
      <c r="Z316" s="276"/>
      <c r="AB316" s="278" t="str">
        <f t="shared" si="44"/>
        <v>GoldPease &amp; Curren</v>
      </c>
    </row>
    <row r="317" spans="1:28" s="277" customFormat="1" ht="81">
      <c r="A317" s="216"/>
      <c r="B317" s="217" t="s">
        <v>1153</v>
      </c>
      <c r="C317" s="221" t="s">
        <v>2261</v>
      </c>
      <c r="D317" s="283" t="s">
        <v>2261</v>
      </c>
      <c r="E317" s="217" t="s">
        <v>1123</v>
      </c>
      <c r="F317" s="217" t="s">
        <v>735</v>
      </c>
      <c r="G317" s="217" t="s">
        <v>15513</v>
      </c>
      <c r="H317" s="218">
        <f ca="1">IF(ISERROR($V317),"",OFFSET('Smelter Look-up'!$G$4,$V317-4,0))</f>
        <v>0</v>
      </c>
      <c r="I317" s="219" t="str">
        <f ca="1">IF(ISERROR($V317),"",OFFSET('Smelter Look-up'!$H$4,$V317-4,0))</f>
        <v>Penglai</v>
      </c>
      <c r="J317" s="219" t="str">
        <f ca="1">IF(ISERROR($V317),"",OFFSET('Smelter Look-up'!$I$4,$V317-4,0))</f>
        <v>Shandong Sheng</v>
      </c>
      <c r="K317" s="273"/>
      <c r="L317" s="273"/>
      <c r="M317" s="273"/>
      <c r="N317" s="273"/>
      <c r="O317" s="273"/>
      <c r="P317" s="220"/>
      <c r="Q317" s="274"/>
      <c r="R317" s="217" t="str">
        <f ca="1">IF(ISERROR($V317),"",OFFSET('Smelter Look-up'!$C$4,$V317-4,0)&amp;"")</f>
        <v>Penglai Penggang Gold Industry Co., Ltd.</v>
      </c>
      <c r="S317" s="225" t="str">
        <f t="shared" ca="1" si="42"/>
        <v>CN</v>
      </c>
      <c r="T317" s="225" t="str">
        <f ca="1">IF(B317="","",IF(ISERROR(MATCH($J317,SorP!$B$1:$B$6230,0)),"",INDIRECT("'SorP'!$A$"&amp;MATCH($J317,SorP!$B$1:$B$6230,0))))</f>
        <v>CN-SD</v>
      </c>
      <c r="U317" s="241"/>
      <c r="V317" s="275">
        <f>IF(C317="",NA(),MATCH($B317&amp;$C317,'Smelter Look-up'!$J:$J,0))</f>
        <v>187</v>
      </c>
      <c r="W317" s="276"/>
      <c r="X317" s="276">
        <f t="shared" si="43"/>
        <v>0</v>
      </c>
      <c r="Y317" s="276"/>
      <c r="Z317" s="276"/>
      <c r="AB317" s="278" t="str">
        <f t="shared" si="44"/>
        <v>GoldPenglai Penggang Gold Industry Co., Ltd.</v>
      </c>
    </row>
    <row r="318" spans="1:28" s="277" customFormat="1" ht="108">
      <c r="A318" s="216"/>
      <c r="B318" s="217" t="s">
        <v>1156</v>
      </c>
      <c r="C318" s="221" t="s">
        <v>2473</v>
      </c>
      <c r="D318" s="283" t="s">
        <v>2473</v>
      </c>
      <c r="E318" s="217" t="s">
        <v>904</v>
      </c>
      <c r="F318" s="217" t="s">
        <v>2390</v>
      </c>
      <c r="G318" s="217" t="s">
        <v>15513</v>
      </c>
      <c r="H318" s="218">
        <f ca="1">IF(ISERROR($V318),"",OFFSET('Smelter Look-up'!$G$4,$V318-4,0))</f>
        <v>0</v>
      </c>
      <c r="I318" s="219" t="str">
        <f ca="1">IF(ISERROR($V318),"",OFFSET('Smelter Look-up'!$H$4,$V318-4,0))</f>
        <v>Marilao</v>
      </c>
      <c r="J318" s="219" t="str">
        <f ca="1">IF(ISERROR($V318),"",OFFSET('Smelter Look-up'!$I$4,$V318-4,0))</f>
        <v>Bulacan</v>
      </c>
      <c r="K318" s="273"/>
      <c r="L318" s="273"/>
      <c r="M318" s="273"/>
      <c r="N318" s="273"/>
      <c r="O318" s="273"/>
      <c r="P318" s="220"/>
      <c r="Q318" s="274"/>
      <c r="R318" s="217" t="str">
        <f ca="1">IF(ISERROR($V318),"",OFFSET('Smelter Look-up'!$C$4,$V318-4,0)&amp;"")</f>
        <v>Philippine Chuangxin Industrial Co., Inc.</v>
      </c>
      <c r="S318" s="225" t="str">
        <f t="shared" ca="1" si="42"/>
        <v>PH</v>
      </c>
      <c r="T318" s="225" t="str">
        <f ca="1">IF(B318="","",IF(ISERROR(MATCH($J318,SorP!$B$1:$B$6230,0)),"",INDIRECT("'SorP'!$A$"&amp;MATCH($J318,SorP!$B$1:$B$6230,0))))</f>
        <v>PH-BUL</v>
      </c>
      <c r="U318" s="241"/>
      <c r="V318" s="275">
        <f>IF(C318="",NA(),MATCH($B318&amp;$C318,'Smelter Look-up'!$J:$J,0))</f>
        <v>547</v>
      </c>
      <c r="W318" s="276"/>
      <c r="X318" s="276">
        <f t="shared" si="43"/>
        <v>0</v>
      </c>
      <c r="Y318" s="276"/>
      <c r="Z318" s="276"/>
      <c r="AB318" s="278" t="str">
        <f t="shared" si="44"/>
        <v>TungstenPhilippine Chuangxin Industrial Co., Inc.</v>
      </c>
    </row>
    <row r="319" spans="1:28" s="277" customFormat="1" ht="81">
      <c r="A319" s="216"/>
      <c r="B319" s="217" t="s">
        <v>1153</v>
      </c>
      <c r="C319" s="221" t="s">
        <v>2661</v>
      </c>
      <c r="D319" s="283" t="s">
        <v>2661</v>
      </c>
      <c r="E319" s="217" t="s">
        <v>1122</v>
      </c>
      <c r="F319" s="217" t="s">
        <v>2662</v>
      </c>
      <c r="G319" s="217" t="s">
        <v>15513</v>
      </c>
      <c r="H319" s="218">
        <f ca="1">IF(ISERROR($V319),"",OFFSET('Smelter Look-up'!$G$4,$V319-4,0))</f>
        <v>0</v>
      </c>
      <c r="I319" s="219" t="str">
        <f ca="1">IF(ISERROR($V319),"",OFFSET('Smelter Look-up'!$H$4,$V319-4,0))</f>
        <v>Mejillones</v>
      </c>
      <c r="J319" s="219" t="str">
        <f ca="1">IF(ISERROR($V319),"",OFFSET('Smelter Look-up'!$I$4,$V319-4,0))</f>
        <v>Antofagasta</v>
      </c>
      <c r="K319" s="273"/>
      <c r="L319" s="273"/>
      <c r="M319" s="273"/>
      <c r="N319" s="273"/>
      <c r="O319" s="273"/>
      <c r="P319" s="220"/>
      <c r="Q319" s="274"/>
      <c r="R319" s="217" t="str">
        <f ca="1">IF(ISERROR($V319),"",OFFSET('Smelter Look-up'!$C$4,$V319-4,0)&amp;"")</f>
        <v>Planta Recuperadora de Metales SpA</v>
      </c>
      <c r="S319" s="225" t="str">
        <f t="shared" ca="1" si="42"/>
        <v>CL</v>
      </c>
      <c r="T319" s="225" t="str">
        <f ca="1">IF(B319="","",IF(ISERROR(MATCH($J319,SorP!$B$1:$B$6230,0)),"",INDIRECT("'SorP'!$A$"&amp;MATCH($J319,SorP!$B$1:$B$6230,0))))</f>
        <v>CL-AN</v>
      </c>
      <c r="U319" s="241"/>
      <c r="V319" s="275">
        <f>IF(C319="",NA(),MATCH($B319&amp;$C319,'Smelter Look-up'!$J:$J,0))</f>
        <v>190</v>
      </c>
      <c r="W319" s="276"/>
      <c r="X319" s="276">
        <f t="shared" si="43"/>
        <v>0</v>
      </c>
      <c r="Y319" s="276"/>
      <c r="Z319" s="276"/>
      <c r="AB319" s="278" t="str">
        <f t="shared" si="44"/>
        <v>GoldPlanta Recuperadora de Metales SpA</v>
      </c>
    </row>
    <row r="320" spans="1:28" s="277" customFormat="1" ht="81">
      <c r="A320" s="216"/>
      <c r="B320" s="217" t="s">
        <v>1155</v>
      </c>
      <c r="C320" s="221" t="s">
        <v>1898</v>
      </c>
      <c r="D320" s="283" t="s">
        <v>15684</v>
      </c>
      <c r="E320" s="217" t="s">
        <v>2576</v>
      </c>
      <c r="F320" s="217" t="s">
        <v>14250</v>
      </c>
      <c r="G320" s="217" t="s">
        <v>14250</v>
      </c>
      <c r="H320" s="218">
        <f ca="1">IF(ISERROR($V320),"",OFFSET('Smelter Look-up'!$G$4,$V320-4,0))</f>
        <v>0</v>
      </c>
      <c r="I320" s="219">
        <f ca="1">IF(ISERROR($V320),"",OFFSET('Smelter Look-up'!$H$4,$V320-4,0))</f>
        <v>0</v>
      </c>
      <c r="J320" s="219">
        <f ca="1">IF(ISERROR($V320),"",OFFSET('Smelter Look-up'!$I$4,$V320-4,0))</f>
        <v>0</v>
      </c>
      <c r="K320" s="273"/>
      <c r="L320" s="273"/>
      <c r="M320" s="273"/>
      <c r="N320" s="273"/>
      <c r="O320" s="273"/>
      <c r="P320" s="220"/>
      <c r="Q320" s="274" t="s">
        <v>15525</v>
      </c>
      <c r="R320" s="217" t="str">
        <f ca="1">IF(ISERROR($V320),"",OFFSET('Smelter Look-up'!$C$4,$V320-4,0)&amp;"")</f>
        <v/>
      </c>
      <c r="S320" s="225" t="str">
        <f t="shared" ca="1" si="42"/>
        <v>US</v>
      </c>
      <c r="T320" s="225" t="str">
        <f ca="1">IF(B320="","",IF(ISERROR(MATCH($J320,SorP!$B$1:$B$6230,0)),"",INDIRECT("'SorP'!$A$"&amp;MATCH($J320,SorP!$B$1:$B$6230,0))))</f>
        <v/>
      </c>
      <c r="U320" s="241"/>
      <c r="V320" s="275">
        <f>IF(C320="",NA(),MATCH($B320&amp;$C320,'Smelter Look-up'!$J:$J,0))</f>
        <v>353</v>
      </c>
      <c r="W320" s="276"/>
      <c r="X320" s="276">
        <f t="shared" si="43"/>
        <v>0</v>
      </c>
      <c r="Y320" s="276"/>
      <c r="Z320" s="276"/>
      <c r="AB320" s="278" t="str">
        <f t="shared" si="44"/>
        <v>TantalumSmelter not listed</v>
      </c>
    </row>
    <row r="321" spans="1:28" s="277" customFormat="1" ht="67.5">
      <c r="A321" s="216"/>
      <c r="B321" s="217" t="s">
        <v>1154</v>
      </c>
      <c r="C321" s="221" t="s">
        <v>13269</v>
      </c>
      <c r="D321" s="283" t="s">
        <v>13269</v>
      </c>
      <c r="E321" s="217" t="s">
        <v>1137</v>
      </c>
      <c r="F321" s="217" t="s">
        <v>13270</v>
      </c>
      <c r="G321" s="217" t="s">
        <v>15513</v>
      </c>
      <c r="H321" s="218">
        <f ca="1">IF(ISERROR($V321),"",OFFSET('Smelter Look-up'!$G$4,$V321-4,0))</f>
        <v>0</v>
      </c>
      <c r="I321" s="219" t="str">
        <f ca="1">IF(ISERROR($V321),"",OFFSET('Smelter Look-up'!$H$4,$V321-4,0))</f>
        <v>Yangon</v>
      </c>
      <c r="J321" s="219" t="str">
        <f ca="1">IF(ISERROR($V321),"",OFFSET('Smelter Look-up'!$I$4,$V321-4,0))</f>
        <v>Yangon</v>
      </c>
      <c r="K321" s="273"/>
      <c r="L321" s="273"/>
      <c r="M321" s="273"/>
      <c r="N321" s="273"/>
      <c r="O321" s="273"/>
      <c r="P321" s="220"/>
      <c r="Q321" s="274"/>
      <c r="R321" s="217" t="str">
        <f ca="1">IF(ISERROR($V321),"",OFFSET('Smelter Look-up'!$C$4,$V321-4,0)&amp;"")</f>
        <v>Pongpipat Company Limited</v>
      </c>
      <c r="S321" s="225" t="str">
        <f t="shared" ca="1" si="42"/>
        <v>MM</v>
      </c>
      <c r="T321" s="225" t="str">
        <f ca="1">IF(B321="","",IF(ISERROR(MATCH($J321,SorP!$B$1:$B$6230,0)),"",INDIRECT("'SorP'!$A$"&amp;MATCH($J321,SorP!$B$1:$B$6230,0))))</f>
        <v>MM-06</v>
      </c>
      <c r="U321" s="241"/>
      <c r="V321" s="275">
        <f>IF(C321="",NA(),MATCH($B321&amp;$C321,'Smelter Look-up'!$J:$J,0))</f>
        <v>436</v>
      </c>
      <c r="W321" s="276"/>
      <c r="X321" s="276">
        <f t="shared" si="43"/>
        <v>0</v>
      </c>
      <c r="Y321" s="276"/>
      <c r="Z321" s="276"/>
      <c r="AB321" s="278" t="str">
        <f t="shared" si="44"/>
        <v>TinPongpipat Company Limited</v>
      </c>
    </row>
    <row r="322" spans="1:28" s="277" customFormat="1" ht="40.5">
      <c r="A322" s="216"/>
      <c r="B322" s="217" t="s">
        <v>1155</v>
      </c>
      <c r="C322" s="221" t="s">
        <v>14222</v>
      </c>
      <c r="D322" s="283" t="s">
        <v>2493</v>
      </c>
      <c r="E322" s="217" t="s">
        <v>14433</v>
      </c>
      <c r="F322" s="217" t="s">
        <v>2462</v>
      </c>
      <c r="G322" s="217" t="s">
        <v>15513</v>
      </c>
      <c r="H322" s="218" t="s">
        <v>15514</v>
      </c>
      <c r="I322" s="219" t="s">
        <v>2481</v>
      </c>
      <c r="J322" s="219" t="s">
        <v>2481</v>
      </c>
      <c r="K322" s="273"/>
      <c r="L322" s="273"/>
      <c r="M322" s="273"/>
      <c r="N322" s="273"/>
      <c r="O322" s="273"/>
      <c r="P322" s="220"/>
      <c r="Q322" s="274"/>
      <c r="R322" s="217" t="str">
        <f ca="1">IF(ISERROR($V322),"",OFFSET('Smelter Look-up'!$C$4,$V322-4,0)&amp;"")</f>
        <v>PRG Dooel</v>
      </c>
      <c r="S322" s="225" t="str">
        <f t="shared" ca="1" si="42"/>
        <v>MK</v>
      </c>
      <c r="T322" s="225" t="str">
        <f ca="1">IF(B322="","",IF(ISERROR(MATCH($J322,SorP!$B$1:$B$6230,0)),"",INDIRECT("'SorP'!$A$"&amp;MATCH($J322,SorP!$B$1:$B$6230,0))))</f>
        <v>MK-85</v>
      </c>
      <c r="U322" s="241"/>
      <c r="V322" s="275">
        <f>IF(C322="",NA(),MATCH($B322&amp;$C322,'Smelter Look-up'!$J:$J,0))</f>
        <v>335</v>
      </c>
      <c r="W322" s="276"/>
      <c r="X322" s="276">
        <f t="shared" si="43"/>
        <v>0</v>
      </c>
      <c r="Y322" s="276"/>
      <c r="Z322" s="276"/>
      <c r="AB322" s="278" t="str">
        <f t="shared" si="44"/>
        <v>TantalumPRG Dooel</v>
      </c>
    </row>
    <row r="323" spans="1:28" s="277" customFormat="1" ht="40.5">
      <c r="A323" s="216"/>
      <c r="B323" s="217" t="s">
        <v>1153</v>
      </c>
      <c r="C323" s="221" t="s">
        <v>1898</v>
      </c>
      <c r="D323" s="283" t="s">
        <v>15685</v>
      </c>
      <c r="E323" s="217" t="s">
        <v>2576</v>
      </c>
      <c r="F323" s="217" t="s">
        <v>14250</v>
      </c>
      <c r="G323" s="217" t="s">
        <v>14250</v>
      </c>
      <c r="H323" s="218">
        <f ca="1">IF(ISERROR($V323),"",OFFSET('Smelter Look-up'!$G$4,$V323-4,0))</f>
        <v>0</v>
      </c>
      <c r="I323" s="219">
        <f ca="1">IF(ISERROR($V323),"",OFFSET('Smelter Look-up'!$H$4,$V323-4,0))</f>
        <v>0</v>
      </c>
      <c r="J323" s="219">
        <f ca="1">IF(ISERROR($V323),"",OFFSET('Smelter Look-up'!$I$4,$V323-4,0))</f>
        <v>0</v>
      </c>
      <c r="K323" s="273"/>
      <c r="L323" s="273"/>
      <c r="M323" s="273"/>
      <c r="N323" s="273"/>
      <c r="O323" s="273"/>
      <c r="P323" s="220"/>
      <c r="Q323" s="274"/>
      <c r="R323" s="217" t="str">
        <f ca="1">IF(ISERROR($V323),"",OFFSET('Smelter Look-up'!$C$4,$V323-4,0)&amp;"")</f>
        <v/>
      </c>
      <c r="S323" s="225" t="str">
        <f t="shared" ca="1" si="42"/>
        <v>US</v>
      </c>
      <c r="T323" s="225" t="str">
        <f ca="1">IF(B323="","",IF(ISERROR(MATCH($J323,SorP!$B$1:$B$6230,0)),"",INDIRECT("'SorP'!$A$"&amp;MATCH($J323,SorP!$B$1:$B$6230,0))))</f>
        <v/>
      </c>
      <c r="U323" s="241"/>
      <c r="V323" s="275">
        <f>IF(C323="",NA(),MATCH($B323&amp;$C323,'Smelter Look-up'!$J:$J,0))</f>
        <v>293</v>
      </c>
      <c r="W323" s="276"/>
      <c r="X323" s="276">
        <f t="shared" si="43"/>
        <v>0</v>
      </c>
      <c r="Y323" s="276"/>
      <c r="Z323" s="276"/>
      <c r="AB323" s="278" t="str">
        <f t="shared" si="44"/>
        <v>GoldSmelter not listed</v>
      </c>
    </row>
    <row r="324" spans="1:28" s="277" customFormat="1" ht="81">
      <c r="A324" s="216"/>
      <c r="B324" s="217" t="s">
        <v>1154</v>
      </c>
      <c r="C324" s="221" t="s">
        <v>14157</v>
      </c>
      <c r="D324" s="283" t="s">
        <v>14157</v>
      </c>
      <c r="E324" s="217" t="s">
        <v>1129</v>
      </c>
      <c r="F324" s="217" t="s">
        <v>14158</v>
      </c>
      <c r="G324" s="217" t="s">
        <v>13577</v>
      </c>
      <c r="H324" s="218">
        <f ca="1">IF(ISERROR($V324),"",OFFSET('Smelter Look-up'!$G$4,$V324-4,0))</f>
        <v>0</v>
      </c>
      <c r="I324" s="219" t="str">
        <f ca="1">IF(ISERROR($V324),"",OFFSET('Smelter Look-up'!$H$4,$V324-4,0))</f>
        <v>Jagdalpur</v>
      </c>
      <c r="J324" s="219" t="str">
        <f ca="1">IF(ISERROR($V324),"",OFFSET('Smelter Look-up'!$I$4,$V324-4,0))</f>
        <v>Chhattisgarh</v>
      </c>
      <c r="K324" s="273"/>
      <c r="L324" s="273"/>
      <c r="M324" s="273"/>
      <c r="N324" s="273"/>
      <c r="O324" s="273"/>
      <c r="P324" s="220"/>
      <c r="Q324" s="274"/>
      <c r="R324" s="217" t="str">
        <f ca="1">IF(ISERROR($V324),"",OFFSET('Smelter Look-up'!$C$4,$V324-4,0)&amp;"")</f>
        <v>Precious Minerals and Smelting Limited</v>
      </c>
      <c r="S324" s="225" t="str">
        <f t="shared" ca="1" si="42"/>
        <v>IN</v>
      </c>
      <c r="T324" s="225" t="str">
        <f ca="1">IF(B324="","",IF(ISERROR(MATCH($J324,SorP!$B$1:$B$6230,0)),"",INDIRECT("'SorP'!$A$"&amp;MATCH($J324,SorP!$B$1:$B$6230,0))))</f>
        <v>IN-CT</v>
      </c>
      <c r="U324" s="241"/>
      <c r="V324" s="275">
        <f>IF(C324="",NA(),MATCH($B324&amp;$C324,'Smelter Look-up'!$J:$J,0))</f>
        <v>437</v>
      </c>
      <c r="W324" s="276"/>
      <c r="X324" s="276">
        <f t="shared" si="43"/>
        <v>0</v>
      </c>
      <c r="Y324" s="276"/>
      <c r="Z324" s="276"/>
      <c r="AB324" s="278" t="str">
        <f t="shared" si="44"/>
        <v>TinPrecious Minerals and Smelting Limited</v>
      </c>
    </row>
    <row r="325" spans="1:28" s="277" customFormat="1" ht="40.5">
      <c r="A325" s="216"/>
      <c r="B325" s="217" t="s">
        <v>1155</v>
      </c>
      <c r="C325" s="221" t="s">
        <v>14222</v>
      </c>
      <c r="D325" s="283" t="s">
        <v>14222</v>
      </c>
      <c r="E325" s="217" t="s">
        <v>14433</v>
      </c>
      <c r="F325" s="217" t="s">
        <v>14250</v>
      </c>
      <c r="G325" s="217" t="s">
        <v>14250</v>
      </c>
      <c r="H325" s="218">
        <f ca="1">IF(ISERROR($V325),"",OFFSET('Smelter Look-up'!$G$4,$V325-4,0))</f>
        <v>0</v>
      </c>
      <c r="I325" s="219" t="str">
        <f ca="1">IF(ISERROR($V325),"",OFFSET('Smelter Look-up'!$H$4,$V325-4,0))</f>
        <v>Skopje</v>
      </c>
      <c r="J325" s="219" t="str">
        <f ca="1">IF(ISERROR($V325),"",OFFSET('Smelter Look-up'!$I$4,$V325-4,0))</f>
        <v>Skopje</v>
      </c>
      <c r="K325" s="273"/>
      <c r="L325" s="273"/>
      <c r="M325" s="273"/>
      <c r="N325" s="273"/>
      <c r="O325" s="273"/>
      <c r="P325" s="220"/>
      <c r="Q325" s="274"/>
      <c r="R325" s="217" t="str">
        <f ca="1">IF(ISERROR($V325),"",OFFSET('Smelter Look-up'!$C$4,$V325-4,0)&amp;"")</f>
        <v>PRG Dooel</v>
      </c>
      <c r="S325" s="225" t="str">
        <f t="shared" ref="S325" ca="1" si="45">IF(B325="","",IF(ISERROR(MATCH($E325,CL,0)),"Unknown",INDIRECT("'C'!$A$"&amp;MATCH($E325,CL,0)+1)))</f>
        <v>MK</v>
      </c>
      <c r="T325" s="225" t="str">
        <f ca="1">IF(B325="","",IF(ISERROR(MATCH($J325,SorP!$B$1:$B$6230,0)),"",INDIRECT("'SorP'!$A$"&amp;MATCH($J325,SorP!$B$1:$B$6230,0))))</f>
        <v>MK-85</v>
      </c>
      <c r="U325" s="241"/>
      <c r="V325" s="275">
        <f>IF(C325="",NA(),MATCH($B325&amp;$C325,'Smelter Look-up'!$J:$J,0))</f>
        <v>335</v>
      </c>
      <c r="W325" s="276"/>
      <c r="X325" s="276">
        <f t="shared" ref="X325" si="46">IF(AND(C325="Smelter not listed",OR(LEN(D325)=0,LEN(E325)=0)),1,0)</f>
        <v>0</v>
      </c>
      <c r="Y325" s="276"/>
      <c r="Z325" s="276"/>
      <c r="AB325" s="278" t="str">
        <f t="shared" ref="AB325" si="47">B325&amp;C325</f>
        <v>TantalumPRG Dooel</v>
      </c>
    </row>
    <row r="326" spans="1:28" s="277" customFormat="1" ht="81">
      <c r="A326" s="216"/>
      <c r="B326" s="217" t="s">
        <v>1153</v>
      </c>
      <c r="C326" s="221" t="s">
        <v>935</v>
      </c>
      <c r="D326" s="283" t="s">
        <v>935</v>
      </c>
      <c r="E326" s="217" t="s">
        <v>906</v>
      </c>
      <c r="F326" s="217" t="s">
        <v>736</v>
      </c>
      <c r="G326" s="217" t="s">
        <v>15513</v>
      </c>
      <c r="H326" s="218">
        <f ca="1">IF(ISERROR($V326),"",OFFSET('Smelter Look-up'!$G$4,$V326-4,0))</f>
        <v>0</v>
      </c>
      <c r="I326" s="219" t="str">
        <f ca="1">IF(ISERROR($V326),"",OFFSET('Smelter Look-up'!$H$4,$V326-4,0))</f>
        <v>Kasimov</v>
      </c>
      <c r="J326" s="219" t="str">
        <f ca="1">IF(ISERROR($V326),"",OFFSET('Smelter Look-up'!$I$4,$V326-4,0))</f>
        <v>Ryazanskaya oblast'</v>
      </c>
      <c r="K326" s="273"/>
      <c r="L326" s="273"/>
      <c r="M326" s="273"/>
      <c r="N326" s="273"/>
      <c r="O326" s="273"/>
      <c r="P326" s="220"/>
      <c r="Q326" s="274"/>
      <c r="R326" s="217" t="str">
        <f ca="1">IF(ISERROR($V326),"",OFFSET('Smelter Look-up'!$C$4,$V326-4,0)&amp;"")</f>
        <v>Prioksky Plant of Non-Ferrous Metals</v>
      </c>
      <c r="S326" s="225" t="str">
        <f t="shared" ref="S326:S357" ca="1" si="48">IF(B326="","",IF(ISERROR(MATCH($E326,CL,0)),"Unknown",INDIRECT("'C'!$A$"&amp;MATCH($E326,CL,0)+1)))</f>
        <v>RU</v>
      </c>
      <c r="T326" s="225" t="str">
        <f ca="1">IF(B326="","",IF(ISERROR(MATCH($J326,SorP!$B$1:$B$6230,0)),"",INDIRECT("'SorP'!$A$"&amp;MATCH($J326,SorP!$B$1:$B$6230,0))))</f>
        <v>RU-RYA</v>
      </c>
      <c r="U326" s="241"/>
      <c r="V326" s="275">
        <f>IF(C326="",NA(),MATCH($B326&amp;$C326,'Smelter Look-up'!$J:$J,0))</f>
        <v>191</v>
      </c>
      <c r="W326" s="276"/>
      <c r="X326" s="276">
        <f t="shared" ref="X326:X357" si="49">IF(AND(C326="Smelter not listed",OR(LEN(D326)=0,LEN(E326)=0)),1,0)</f>
        <v>0</v>
      </c>
      <c r="Y326" s="276"/>
      <c r="Z326" s="276"/>
      <c r="AB326" s="278" t="str">
        <f t="shared" ref="AB326:AB357" si="50">B326&amp;C326</f>
        <v>GoldPrioksky Plant of Non-Ferrous Metals</v>
      </c>
    </row>
    <row r="327" spans="1:28" s="277" customFormat="1" ht="81">
      <c r="A327" s="216"/>
      <c r="B327" s="217" t="s">
        <v>1153</v>
      </c>
      <c r="C327" s="221" t="s">
        <v>1255</v>
      </c>
      <c r="D327" s="283" t="s">
        <v>1255</v>
      </c>
      <c r="E327" s="217" t="s">
        <v>1128</v>
      </c>
      <c r="F327" s="217" t="s">
        <v>737</v>
      </c>
      <c r="G327" s="217" t="s">
        <v>15513</v>
      </c>
      <c r="H327" s="218">
        <f ca="1">IF(ISERROR($V327),"",OFFSET('Smelter Look-up'!$G$4,$V327-4,0))</f>
        <v>0</v>
      </c>
      <c r="I327" s="219" t="str">
        <f ca="1">IF(ISERROR($V327),"",OFFSET('Smelter Look-up'!$H$4,$V327-4,0))</f>
        <v>Jakarta</v>
      </c>
      <c r="J327" s="219" t="str">
        <f ca="1">IF(ISERROR($V327),"",OFFSET('Smelter Look-up'!$I$4,$V327-4,0))</f>
        <v>Jakarta Raya</v>
      </c>
      <c r="K327" s="273"/>
      <c r="L327" s="273"/>
      <c r="M327" s="273"/>
      <c r="N327" s="273"/>
      <c r="O327" s="273"/>
      <c r="P327" s="220"/>
      <c r="Q327" s="274"/>
      <c r="R327" s="217" t="str">
        <f ca="1">IF(ISERROR($V327),"",OFFSET('Smelter Look-up'!$C$4,$V327-4,0)&amp;"")</f>
        <v>PT Aneka Tambang (Persero) Tbk</v>
      </c>
      <c r="S327" s="225" t="str">
        <f t="shared" ca="1" si="48"/>
        <v>ID</v>
      </c>
      <c r="T327" s="225" t="str">
        <f ca="1">IF(B327="","",IF(ISERROR(MATCH($J327,SorP!$B$1:$B$6230,0)),"",INDIRECT("'SorP'!$A$"&amp;MATCH($J327,SorP!$B$1:$B$6230,0))))</f>
        <v>ID-JK</v>
      </c>
      <c r="U327" s="241"/>
      <c r="V327" s="275">
        <f>IF(C327="",NA(),MATCH($B327&amp;$C327,'Smelter Look-up'!$J:$J,0))</f>
        <v>193</v>
      </c>
      <c r="W327" s="276"/>
      <c r="X327" s="276">
        <f t="shared" si="49"/>
        <v>0</v>
      </c>
      <c r="Y327" s="276"/>
      <c r="Z327" s="276"/>
      <c r="AB327" s="278" t="str">
        <f t="shared" si="50"/>
        <v>GoldPT Aneka Tambang (Persero) Tbk</v>
      </c>
    </row>
    <row r="328" spans="1:28" s="277" customFormat="1" ht="40.5">
      <c r="A328" s="216"/>
      <c r="B328" s="217" t="s">
        <v>1154</v>
      </c>
      <c r="C328" s="221" t="s">
        <v>1898</v>
      </c>
      <c r="D328" s="283" t="s">
        <v>15686</v>
      </c>
      <c r="E328" s="217" t="s">
        <v>1128</v>
      </c>
      <c r="F328" s="217" t="s">
        <v>15687</v>
      </c>
      <c r="G328" s="217" t="s">
        <v>15513</v>
      </c>
      <c r="H328" s="218">
        <f ca="1">IF(ISERROR($V328),"",OFFSET('Smelter Look-up'!$G$4,$V328-4,0))</f>
        <v>0</v>
      </c>
      <c r="I328" s="219">
        <f ca="1">IF(ISERROR($V328),"",OFFSET('Smelter Look-up'!$H$4,$V328-4,0))</f>
        <v>0</v>
      </c>
      <c r="J328" s="219">
        <f ca="1">IF(ISERROR($V328),"",OFFSET('Smelter Look-up'!$I$4,$V328-4,0))</f>
        <v>0</v>
      </c>
      <c r="K328" s="273"/>
      <c r="L328" s="273"/>
      <c r="M328" s="273"/>
      <c r="N328" s="273"/>
      <c r="O328" s="273"/>
      <c r="P328" s="220"/>
      <c r="Q328" s="274"/>
      <c r="R328" s="217" t="str">
        <f ca="1">IF(ISERROR($V328),"",OFFSET('Smelter Look-up'!$C$4,$V328-4,0)&amp;"")</f>
        <v/>
      </c>
      <c r="S328" s="225" t="str">
        <f t="shared" ca="1" si="48"/>
        <v>ID</v>
      </c>
      <c r="T328" s="225" t="str">
        <f ca="1">IF(B328="","",IF(ISERROR(MATCH($J328,SorP!$B$1:$B$6230,0)),"",INDIRECT("'SorP'!$A$"&amp;MATCH($J328,SorP!$B$1:$B$6230,0))))</f>
        <v/>
      </c>
      <c r="U328" s="241"/>
      <c r="V328" s="275">
        <f>IF(C328="",NA(),MATCH($B328&amp;$C328,'Smelter Look-up'!$J:$J,0))</f>
        <v>484</v>
      </c>
      <c r="W328" s="276"/>
      <c r="X328" s="276">
        <f t="shared" si="49"/>
        <v>0</v>
      </c>
      <c r="Y328" s="276"/>
      <c r="Z328" s="276"/>
      <c r="AB328" s="278" t="str">
        <f t="shared" si="50"/>
        <v>TinSmelter not listed</v>
      </c>
    </row>
    <row r="329" spans="1:28" s="277" customFormat="1" ht="67.5">
      <c r="A329" s="216"/>
      <c r="B329" s="217" t="s">
        <v>1154</v>
      </c>
      <c r="C329" s="221" t="s">
        <v>867</v>
      </c>
      <c r="D329" s="283" t="s">
        <v>867</v>
      </c>
      <c r="E329" s="217" t="s">
        <v>1128</v>
      </c>
      <c r="F329" s="217" t="s">
        <v>799</v>
      </c>
      <c r="G329" s="217" t="s">
        <v>15513</v>
      </c>
      <c r="H329" s="218">
        <f ca="1">IF(ISERROR($V329),"",OFFSET('Smelter Look-up'!$G$4,$V329-4,0))</f>
        <v>0</v>
      </c>
      <c r="I329" s="219" t="str">
        <f ca="1">IF(ISERROR($V329),"",OFFSET('Smelter Look-up'!$H$4,$V329-4,0))</f>
        <v>Sungailiat</v>
      </c>
      <c r="J329" s="219" t="str">
        <f ca="1">IF(ISERROR($V329),"",OFFSET('Smelter Look-up'!$I$4,$V329-4,0))</f>
        <v>Kepulauan Bangka Belitung</v>
      </c>
      <c r="K329" s="273"/>
      <c r="L329" s="273"/>
      <c r="M329" s="273"/>
      <c r="N329" s="273"/>
      <c r="O329" s="273"/>
      <c r="P329" s="220"/>
      <c r="Q329" s="274"/>
      <c r="R329" s="217" t="str">
        <f ca="1">IF(ISERROR($V329),"",OFFSET('Smelter Look-up'!$C$4,$V329-4,0)&amp;"")</f>
        <v>PT Artha Cipta Langgeng</v>
      </c>
      <c r="S329" s="225" t="str">
        <f t="shared" ca="1" si="48"/>
        <v>ID</v>
      </c>
      <c r="T329" s="225" t="str">
        <f ca="1">IF(B329="","",IF(ISERROR(MATCH($J329,SorP!$B$1:$B$6230,0)),"",INDIRECT("'SorP'!$A$"&amp;MATCH($J329,SorP!$B$1:$B$6230,0))))</f>
        <v>ID-BB</v>
      </c>
      <c r="U329" s="241"/>
      <c r="V329" s="275">
        <f>IF(C329="",NA(),MATCH($B329&amp;$C329,'Smelter Look-up'!$J:$J,0))</f>
        <v>438</v>
      </c>
      <c r="W329" s="276"/>
      <c r="X329" s="276">
        <f t="shared" si="49"/>
        <v>0</v>
      </c>
      <c r="Y329" s="276"/>
      <c r="Z329" s="276"/>
      <c r="AB329" s="278" t="str">
        <f t="shared" si="50"/>
        <v>TinPT Artha Cipta Langgeng</v>
      </c>
    </row>
    <row r="330" spans="1:28" s="277" customFormat="1" ht="67.5">
      <c r="A330" s="216"/>
      <c r="B330" s="217" t="s">
        <v>1154</v>
      </c>
      <c r="C330" s="221" t="s">
        <v>1426</v>
      </c>
      <c r="D330" s="283" t="s">
        <v>1426</v>
      </c>
      <c r="E330" s="217" t="s">
        <v>1128</v>
      </c>
      <c r="F330" s="217" t="s">
        <v>1427</v>
      </c>
      <c r="G330" s="217" t="s">
        <v>15513</v>
      </c>
      <c r="H330" s="218">
        <f ca="1">IF(ISERROR($V330),"",OFFSET('Smelter Look-up'!$G$4,$V330-4,0))</f>
        <v>0</v>
      </c>
      <c r="I330" s="219" t="str">
        <f ca="1">IF(ISERROR($V330),"",OFFSET('Smelter Look-up'!$H$4,$V330-4,0))</f>
        <v>Sungailiat</v>
      </c>
      <c r="J330" s="219" t="str">
        <f ca="1">IF(ISERROR($V330),"",OFFSET('Smelter Look-up'!$I$4,$V330-4,0))</f>
        <v>Kepulauan Bangka Belitung</v>
      </c>
      <c r="K330" s="273"/>
      <c r="L330" s="273"/>
      <c r="M330" s="273"/>
      <c r="N330" s="273"/>
      <c r="O330" s="273"/>
      <c r="P330" s="220"/>
      <c r="Q330" s="274"/>
      <c r="R330" s="217" t="str">
        <f ca="1">IF(ISERROR($V330),"",OFFSET('Smelter Look-up'!$C$4,$V330-4,0)&amp;"")</f>
        <v>PT ATD Makmur Mandiri Jaya</v>
      </c>
      <c r="S330" s="225" t="str">
        <f t="shared" ca="1" si="48"/>
        <v>ID</v>
      </c>
      <c r="T330" s="225" t="str">
        <f ca="1">IF(B330="","",IF(ISERROR(MATCH($J330,SorP!$B$1:$B$6230,0)),"",INDIRECT("'SorP'!$A$"&amp;MATCH($J330,SorP!$B$1:$B$6230,0))))</f>
        <v>ID-BB</v>
      </c>
      <c r="U330" s="241"/>
      <c r="V330" s="275">
        <f>IF(C330="",NA(),MATCH($B330&amp;$C330,'Smelter Look-up'!$J:$J,0))</f>
        <v>439</v>
      </c>
      <c r="W330" s="276"/>
      <c r="X330" s="276">
        <f t="shared" si="49"/>
        <v>0</v>
      </c>
      <c r="Y330" s="276"/>
      <c r="Z330" s="276"/>
      <c r="AB330" s="278" t="str">
        <f t="shared" si="50"/>
        <v>TinPT ATD Makmur Mandiri Jaya</v>
      </c>
    </row>
    <row r="331" spans="1:28" s="277" customFormat="1" ht="40.5">
      <c r="A331" s="216"/>
      <c r="B331" s="217" t="s">
        <v>1154</v>
      </c>
      <c r="C331" s="221" t="s">
        <v>1898</v>
      </c>
      <c r="D331" s="283" t="s">
        <v>15688</v>
      </c>
      <c r="E331" s="217" t="s">
        <v>1128</v>
      </c>
      <c r="F331" s="217" t="s">
        <v>15689</v>
      </c>
      <c r="G331" s="217" t="s">
        <v>13577</v>
      </c>
      <c r="H331" s="218">
        <f ca="1">IF(ISERROR($V331),"",OFFSET('Smelter Look-up'!$G$4,$V331-4,0))</f>
        <v>0</v>
      </c>
      <c r="I331" s="219">
        <f ca="1">IF(ISERROR($V331),"",OFFSET('Smelter Look-up'!$H$4,$V331-4,0))</f>
        <v>0</v>
      </c>
      <c r="J331" s="219">
        <f ca="1">IF(ISERROR($V331),"",OFFSET('Smelter Look-up'!$I$4,$V331-4,0))</f>
        <v>0</v>
      </c>
      <c r="K331" s="273"/>
      <c r="L331" s="273"/>
      <c r="M331" s="273"/>
      <c r="N331" s="273"/>
      <c r="O331" s="273"/>
      <c r="P331" s="220"/>
      <c r="Q331" s="274"/>
      <c r="R331" s="217" t="str">
        <f ca="1">IF(ISERROR($V331),"",OFFSET('Smelter Look-up'!$C$4,$V331-4,0)&amp;"")</f>
        <v/>
      </c>
      <c r="S331" s="225" t="str">
        <f t="shared" ca="1" si="48"/>
        <v>ID</v>
      </c>
      <c r="T331" s="225" t="str">
        <f ca="1">IF(B331="","",IF(ISERROR(MATCH($J331,SorP!$B$1:$B$6230,0)),"",INDIRECT("'SorP'!$A$"&amp;MATCH($J331,SorP!$B$1:$B$6230,0))))</f>
        <v/>
      </c>
      <c r="U331" s="241"/>
      <c r="V331" s="275">
        <f>IF(C331="",NA(),MATCH($B331&amp;$C331,'Smelter Look-up'!$J:$J,0))</f>
        <v>484</v>
      </c>
      <c r="W331" s="276"/>
      <c r="X331" s="276">
        <f t="shared" si="49"/>
        <v>0</v>
      </c>
      <c r="Y331" s="276"/>
      <c r="Z331" s="276"/>
      <c r="AB331" s="278" t="str">
        <f t="shared" si="50"/>
        <v>TinSmelter not listed</v>
      </c>
    </row>
    <row r="332" spans="1:28" s="277" customFormat="1" ht="40.5">
      <c r="A332" s="216"/>
      <c r="B332" s="217" t="s">
        <v>1154</v>
      </c>
      <c r="C332" s="221" t="s">
        <v>1898</v>
      </c>
      <c r="D332" s="283" t="s">
        <v>15690</v>
      </c>
      <c r="E332" s="217" t="s">
        <v>1128</v>
      </c>
      <c r="F332" s="217" t="s">
        <v>15691</v>
      </c>
      <c r="G332" s="217" t="s">
        <v>15513</v>
      </c>
      <c r="H332" s="218">
        <f ca="1">IF(ISERROR($V332),"",OFFSET('Smelter Look-up'!$G$4,$V332-4,0))</f>
        <v>0</v>
      </c>
      <c r="I332" s="219">
        <f ca="1">IF(ISERROR($V332),"",OFFSET('Smelter Look-up'!$H$4,$V332-4,0))</f>
        <v>0</v>
      </c>
      <c r="J332" s="219">
        <f ca="1">IF(ISERROR($V332),"",OFFSET('Smelter Look-up'!$I$4,$V332-4,0))</f>
        <v>0</v>
      </c>
      <c r="K332" s="273"/>
      <c r="L332" s="273"/>
      <c r="M332" s="273"/>
      <c r="N332" s="273"/>
      <c r="O332" s="273"/>
      <c r="P332" s="220"/>
      <c r="Q332" s="274"/>
      <c r="R332" s="217" t="str">
        <f ca="1">IF(ISERROR($V332),"",OFFSET('Smelter Look-up'!$C$4,$V332-4,0)&amp;"")</f>
        <v/>
      </c>
      <c r="S332" s="225" t="str">
        <f t="shared" ca="1" si="48"/>
        <v>ID</v>
      </c>
      <c r="T332" s="225" t="str">
        <f ca="1">IF(B332="","",IF(ISERROR(MATCH($J332,SorP!$B$1:$B$6230,0)),"",INDIRECT("'SorP'!$A$"&amp;MATCH($J332,SorP!$B$1:$B$6230,0))))</f>
        <v/>
      </c>
      <c r="U332" s="241"/>
      <c r="V332" s="275">
        <f>IF(C332="",NA(),MATCH($B332&amp;$C332,'Smelter Look-up'!$J:$J,0))</f>
        <v>484</v>
      </c>
      <c r="W332" s="276"/>
      <c r="X332" s="276">
        <f t="shared" si="49"/>
        <v>0</v>
      </c>
      <c r="Y332" s="276"/>
      <c r="Z332" s="276"/>
      <c r="AB332" s="278" t="str">
        <f t="shared" si="50"/>
        <v>TinSmelter not listed</v>
      </c>
    </row>
    <row r="333" spans="1:28" s="277" customFormat="1" ht="40.5">
      <c r="A333" s="216"/>
      <c r="B333" s="217" t="s">
        <v>1154</v>
      </c>
      <c r="C333" s="221" t="s">
        <v>1898</v>
      </c>
      <c r="D333" s="283" t="s">
        <v>15692</v>
      </c>
      <c r="E333" s="217" t="s">
        <v>1128</v>
      </c>
      <c r="F333" s="217" t="s">
        <v>15693</v>
      </c>
      <c r="G333" s="217" t="s">
        <v>13577</v>
      </c>
      <c r="H333" s="218">
        <f ca="1">IF(ISERROR($V333),"",OFFSET('Smelter Look-up'!$G$4,$V333-4,0))</f>
        <v>0</v>
      </c>
      <c r="I333" s="219">
        <f ca="1">IF(ISERROR($V333),"",OFFSET('Smelter Look-up'!$H$4,$V333-4,0))</f>
        <v>0</v>
      </c>
      <c r="J333" s="219">
        <f ca="1">IF(ISERROR($V333),"",OFFSET('Smelter Look-up'!$I$4,$V333-4,0))</f>
        <v>0</v>
      </c>
      <c r="K333" s="273"/>
      <c r="L333" s="273"/>
      <c r="M333" s="273"/>
      <c r="N333" s="273"/>
      <c r="O333" s="273"/>
      <c r="P333" s="220"/>
      <c r="Q333" s="274"/>
      <c r="R333" s="217" t="str">
        <f ca="1">IF(ISERROR($V333),"",OFFSET('Smelter Look-up'!$C$4,$V333-4,0)&amp;"")</f>
        <v/>
      </c>
      <c r="S333" s="225" t="str">
        <f t="shared" ca="1" si="48"/>
        <v>ID</v>
      </c>
      <c r="T333" s="225" t="str">
        <f ca="1">IF(B333="","",IF(ISERROR(MATCH($J333,SorP!$B$1:$B$6230,0)),"",INDIRECT("'SorP'!$A$"&amp;MATCH($J333,SorP!$B$1:$B$6230,0))))</f>
        <v/>
      </c>
      <c r="U333" s="241"/>
      <c r="V333" s="275">
        <f>IF(C333="",NA(),MATCH($B333&amp;$C333,'Smelter Look-up'!$J:$J,0))</f>
        <v>484</v>
      </c>
      <c r="W333" s="276"/>
      <c r="X333" s="276">
        <f t="shared" si="49"/>
        <v>0</v>
      </c>
      <c r="Y333" s="276"/>
      <c r="Z333" s="276"/>
      <c r="AB333" s="278" t="str">
        <f t="shared" si="50"/>
        <v>TinSmelter not listed</v>
      </c>
    </row>
    <row r="334" spans="1:28" s="277" customFormat="1" ht="54">
      <c r="A334" s="216"/>
      <c r="B334" s="217" t="s">
        <v>1154</v>
      </c>
      <c r="C334" s="221" t="s">
        <v>13271</v>
      </c>
      <c r="D334" s="283" t="s">
        <v>13271</v>
      </c>
      <c r="E334" s="217" t="s">
        <v>1128</v>
      </c>
      <c r="F334" s="217" t="s">
        <v>14413</v>
      </c>
      <c r="G334" s="217" t="s">
        <v>15513</v>
      </c>
      <c r="H334" s="218">
        <f ca="1">IF(ISERROR($V334),"",OFFSET('Smelter Look-up'!$G$4,$V334-4,0))</f>
        <v>0</v>
      </c>
      <c r="I334" s="219" t="str">
        <f ca="1">IF(ISERROR($V334),"",OFFSET('Smelter Look-up'!$H$4,$V334-4,0))</f>
        <v/>
      </c>
      <c r="J334" s="219" t="str">
        <f ca="1">IF(ISERROR($V334),"",OFFSET('Smelter Look-up'!$I$4,$V334-4,0))</f>
        <v>Kepulauan Bangka Belitung</v>
      </c>
      <c r="K334" s="273"/>
      <c r="L334" s="273"/>
      <c r="M334" s="273"/>
      <c r="N334" s="273"/>
      <c r="O334" s="273"/>
      <c r="P334" s="220"/>
      <c r="Q334" s="274"/>
      <c r="R334" s="217" t="str">
        <f ca="1">IF(ISERROR($V334),"",OFFSET('Smelter Look-up'!$C$4,$V334-4,0)&amp;"")</f>
        <v>PT Bangka Serumpun</v>
      </c>
      <c r="S334" s="225" t="str">
        <f t="shared" ca="1" si="48"/>
        <v>ID</v>
      </c>
      <c r="T334" s="225" t="str">
        <f ca="1">IF(B334="","",IF(ISERROR(MATCH($J334,SorP!$B$1:$B$6230,0)),"",INDIRECT("'SorP'!$A$"&amp;MATCH($J334,SorP!$B$1:$B$6230,0))))</f>
        <v>ID-BB</v>
      </c>
      <c r="U334" s="241"/>
      <c r="V334" s="275">
        <f>IF(C334="",NA(),MATCH($B334&amp;$C334,'Smelter Look-up'!$J:$J,0))</f>
        <v>440</v>
      </c>
      <c r="W334" s="276"/>
      <c r="X334" s="276">
        <f t="shared" si="49"/>
        <v>0</v>
      </c>
      <c r="Y334" s="276"/>
      <c r="Z334" s="276"/>
      <c r="AB334" s="278" t="str">
        <f t="shared" si="50"/>
        <v>TinPT Bangka Serumpun</v>
      </c>
    </row>
    <row r="335" spans="1:28" s="277" customFormat="1" ht="40.5">
      <c r="A335" s="216"/>
      <c r="B335" s="217" t="s">
        <v>1154</v>
      </c>
      <c r="C335" s="221" t="s">
        <v>1898</v>
      </c>
      <c r="D335" s="283" t="s">
        <v>15694</v>
      </c>
      <c r="E335" s="217" t="s">
        <v>1128</v>
      </c>
      <c r="F335" s="217" t="s">
        <v>15695</v>
      </c>
      <c r="G335" s="217" t="s">
        <v>13577</v>
      </c>
      <c r="H335" s="218">
        <f ca="1">IF(ISERROR($V335),"",OFFSET('Smelter Look-up'!$G$4,$V335-4,0))</f>
        <v>0</v>
      </c>
      <c r="I335" s="219">
        <f ca="1">IF(ISERROR($V335),"",OFFSET('Smelter Look-up'!$H$4,$V335-4,0))</f>
        <v>0</v>
      </c>
      <c r="J335" s="219">
        <f ca="1">IF(ISERROR($V335),"",OFFSET('Smelter Look-up'!$I$4,$V335-4,0))</f>
        <v>0</v>
      </c>
      <c r="K335" s="273"/>
      <c r="L335" s="273"/>
      <c r="M335" s="273"/>
      <c r="N335" s="273"/>
      <c r="O335" s="273"/>
      <c r="P335" s="220"/>
      <c r="Q335" s="274"/>
      <c r="R335" s="217" t="str">
        <f ca="1">IF(ISERROR($V335),"",OFFSET('Smelter Look-up'!$C$4,$V335-4,0)&amp;"")</f>
        <v/>
      </c>
      <c r="S335" s="225" t="str">
        <f t="shared" ca="1" si="48"/>
        <v>ID</v>
      </c>
      <c r="T335" s="225" t="str">
        <f ca="1">IF(B335="","",IF(ISERROR(MATCH($J335,SorP!$B$1:$B$6230,0)),"",INDIRECT("'SorP'!$A$"&amp;MATCH($J335,SorP!$B$1:$B$6230,0))))</f>
        <v/>
      </c>
      <c r="U335" s="241"/>
      <c r="V335" s="275">
        <f>IF(C335="",NA(),MATCH($B335&amp;$C335,'Smelter Look-up'!$J:$J,0))</f>
        <v>484</v>
      </c>
      <c r="W335" s="276"/>
      <c r="X335" s="276">
        <f t="shared" si="49"/>
        <v>0</v>
      </c>
      <c r="Y335" s="276"/>
      <c r="Z335" s="276"/>
      <c r="AB335" s="278" t="str">
        <f t="shared" si="50"/>
        <v>TinSmelter not listed</v>
      </c>
    </row>
    <row r="336" spans="1:28" s="277" customFormat="1" ht="40.5">
      <c r="A336" s="216"/>
      <c r="B336" s="217" t="s">
        <v>1154</v>
      </c>
      <c r="C336" s="221" t="s">
        <v>1898</v>
      </c>
      <c r="D336" s="283" t="s">
        <v>15696</v>
      </c>
      <c r="E336" s="217" t="s">
        <v>1128</v>
      </c>
      <c r="F336" s="217" t="s">
        <v>15697</v>
      </c>
      <c r="G336" s="217" t="s">
        <v>13577</v>
      </c>
      <c r="H336" s="218">
        <f ca="1">IF(ISERROR($V336),"",OFFSET('Smelter Look-up'!$G$4,$V336-4,0))</f>
        <v>0</v>
      </c>
      <c r="I336" s="219">
        <f ca="1">IF(ISERROR($V336),"",OFFSET('Smelter Look-up'!$H$4,$V336-4,0))</f>
        <v>0</v>
      </c>
      <c r="J336" s="219">
        <f ca="1">IF(ISERROR($V336),"",OFFSET('Smelter Look-up'!$I$4,$V336-4,0))</f>
        <v>0</v>
      </c>
      <c r="K336" s="273"/>
      <c r="L336" s="273"/>
      <c r="M336" s="273"/>
      <c r="N336" s="273"/>
      <c r="O336" s="273"/>
      <c r="P336" s="220"/>
      <c r="Q336" s="274"/>
      <c r="R336" s="217" t="str">
        <f ca="1">IF(ISERROR($V336),"",OFFSET('Smelter Look-up'!$C$4,$V336-4,0)&amp;"")</f>
        <v/>
      </c>
      <c r="S336" s="225" t="str">
        <f t="shared" ca="1" si="48"/>
        <v>ID</v>
      </c>
      <c r="T336" s="225" t="str">
        <f ca="1">IF(B336="","",IF(ISERROR(MATCH($J336,SorP!$B$1:$B$6230,0)),"",INDIRECT("'SorP'!$A$"&amp;MATCH($J336,SorP!$B$1:$B$6230,0))))</f>
        <v/>
      </c>
      <c r="U336" s="241"/>
      <c r="V336" s="275">
        <f>IF(C336="",NA(),MATCH($B336&amp;$C336,'Smelter Look-up'!$J:$J,0))</f>
        <v>484</v>
      </c>
      <c r="W336" s="276"/>
      <c r="X336" s="276">
        <f t="shared" si="49"/>
        <v>0</v>
      </c>
      <c r="Y336" s="276"/>
      <c r="Z336" s="276"/>
      <c r="AB336" s="278" t="str">
        <f t="shared" si="50"/>
        <v>TinSmelter not listed</v>
      </c>
    </row>
    <row r="337" spans="1:28" s="277" customFormat="1" ht="40.5">
      <c r="A337" s="216"/>
      <c r="B337" s="217" t="s">
        <v>1154</v>
      </c>
      <c r="C337" s="221" t="s">
        <v>1898</v>
      </c>
      <c r="D337" s="283" t="s">
        <v>15698</v>
      </c>
      <c r="E337" s="217" t="s">
        <v>1128</v>
      </c>
      <c r="F337" s="217" t="s">
        <v>15699</v>
      </c>
      <c r="G337" s="217" t="s">
        <v>13577</v>
      </c>
      <c r="H337" s="218">
        <f ca="1">IF(ISERROR($V337),"",OFFSET('Smelter Look-up'!$G$4,$V337-4,0))</f>
        <v>0</v>
      </c>
      <c r="I337" s="219">
        <f ca="1">IF(ISERROR($V337),"",OFFSET('Smelter Look-up'!$H$4,$V337-4,0))</f>
        <v>0</v>
      </c>
      <c r="J337" s="219">
        <f ca="1">IF(ISERROR($V337),"",OFFSET('Smelter Look-up'!$I$4,$V337-4,0))</f>
        <v>0</v>
      </c>
      <c r="K337" s="273"/>
      <c r="L337" s="273"/>
      <c r="M337" s="273"/>
      <c r="N337" s="273"/>
      <c r="O337" s="273"/>
      <c r="P337" s="220"/>
      <c r="Q337" s="274"/>
      <c r="R337" s="217" t="str">
        <f ca="1">IF(ISERROR($V337),"",OFFSET('Smelter Look-up'!$C$4,$V337-4,0)&amp;"")</f>
        <v/>
      </c>
      <c r="S337" s="225" t="str">
        <f t="shared" ca="1" si="48"/>
        <v>ID</v>
      </c>
      <c r="T337" s="225" t="str">
        <f ca="1">IF(B337="","",IF(ISERROR(MATCH($J337,SorP!$B$1:$B$6230,0)),"",INDIRECT("'SorP'!$A$"&amp;MATCH($J337,SorP!$B$1:$B$6230,0))))</f>
        <v/>
      </c>
      <c r="U337" s="241"/>
      <c r="V337" s="275">
        <f>IF(C337="",NA(),MATCH($B337&amp;$C337,'Smelter Look-up'!$J:$J,0))</f>
        <v>484</v>
      </c>
      <c r="W337" s="276"/>
      <c r="X337" s="276">
        <f t="shared" si="49"/>
        <v>0</v>
      </c>
      <c r="Y337" s="276"/>
      <c r="Z337" s="276"/>
      <c r="AB337" s="278" t="str">
        <f t="shared" si="50"/>
        <v>TinSmelter not listed</v>
      </c>
    </row>
    <row r="338" spans="1:28" s="277" customFormat="1" ht="40.5">
      <c r="A338" s="216"/>
      <c r="B338" s="217" t="s">
        <v>1154</v>
      </c>
      <c r="C338" s="221" t="s">
        <v>1898</v>
      </c>
      <c r="D338" s="283" t="s">
        <v>15700</v>
      </c>
      <c r="E338" s="217" t="s">
        <v>1128</v>
      </c>
      <c r="F338" s="217" t="s">
        <v>15701</v>
      </c>
      <c r="G338" s="217" t="s">
        <v>15513</v>
      </c>
      <c r="H338" s="218">
        <f ca="1">IF(ISERROR($V338),"",OFFSET('Smelter Look-up'!$G$4,$V338-4,0))</f>
        <v>0</v>
      </c>
      <c r="I338" s="219">
        <f ca="1">IF(ISERROR($V338),"",OFFSET('Smelter Look-up'!$H$4,$V338-4,0))</f>
        <v>0</v>
      </c>
      <c r="J338" s="219">
        <f ca="1">IF(ISERROR($V338),"",OFFSET('Smelter Look-up'!$I$4,$V338-4,0))</f>
        <v>0</v>
      </c>
      <c r="K338" s="273"/>
      <c r="L338" s="273"/>
      <c r="M338" s="273"/>
      <c r="N338" s="273"/>
      <c r="O338" s="273"/>
      <c r="P338" s="220"/>
      <c r="Q338" s="274"/>
      <c r="R338" s="217" t="str">
        <f ca="1">IF(ISERROR($V338),"",OFFSET('Smelter Look-up'!$C$4,$V338-4,0)&amp;"")</f>
        <v/>
      </c>
      <c r="S338" s="225" t="str">
        <f t="shared" ca="1" si="48"/>
        <v>ID</v>
      </c>
      <c r="T338" s="225" t="str">
        <f ca="1">IF(B338="","",IF(ISERROR(MATCH($J338,SorP!$B$1:$B$6230,0)),"",INDIRECT("'SorP'!$A$"&amp;MATCH($J338,SorP!$B$1:$B$6230,0))))</f>
        <v/>
      </c>
      <c r="U338" s="241"/>
      <c r="V338" s="275">
        <f>IF(C338="",NA(),MATCH($B338&amp;$C338,'Smelter Look-up'!$J:$J,0))</f>
        <v>484</v>
      </c>
      <c r="W338" s="276"/>
      <c r="X338" s="276">
        <f t="shared" si="49"/>
        <v>0</v>
      </c>
      <c r="Y338" s="276"/>
      <c r="Z338" s="276"/>
      <c r="AB338" s="278" t="str">
        <f t="shared" si="50"/>
        <v>TinSmelter not listed</v>
      </c>
    </row>
    <row r="339" spans="1:28" s="277" customFormat="1" ht="40.5">
      <c r="A339" s="216"/>
      <c r="B339" s="217" t="s">
        <v>1154</v>
      </c>
      <c r="C339" s="221" t="s">
        <v>1898</v>
      </c>
      <c r="D339" s="283" t="s">
        <v>15702</v>
      </c>
      <c r="E339" s="217" t="s">
        <v>1128</v>
      </c>
      <c r="F339" s="217" t="s">
        <v>15703</v>
      </c>
      <c r="G339" s="217" t="s">
        <v>13577</v>
      </c>
      <c r="H339" s="218">
        <f ca="1">IF(ISERROR($V339),"",OFFSET('Smelter Look-up'!$G$4,$V339-4,0))</f>
        <v>0</v>
      </c>
      <c r="I339" s="219">
        <f ca="1">IF(ISERROR($V339),"",OFFSET('Smelter Look-up'!$H$4,$V339-4,0))</f>
        <v>0</v>
      </c>
      <c r="J339" s="219">
        <f ca="1">IF(ISERROR($V339),"",OFFSET('Smelter Look-up'!$I$4,$V339-4,0))</f>
        <v>0</v>
      </c>
      <c r="K339" s="273"/>
      <c r="L339" s="273"/>
      <c r="M339" s="273"/>
      <c r="N339" s="273"/>
      <c r="O339" s="273"/>
      <c r="P339" s="220"/>
      <c r="Q339" s="274"/>
      <c r="R339" s="217" t="str">
        <f ca="1">IF(ISERROR($V339),"",OFFSET('Smelter Look-up'!$C$4,$V339-4,0)&amp;"")</f>
        <v/>
      </c>
      <c r="S339" s="225" t="str">
        <f t="shared" ca="1" si="48"/>
        <v>ID</v>
      </c>
      <c r="T339" s="225" t="str">
        <f ca="1">IF(B339="","",IF(ISERROR(MATCH($J339,SorP!$B$1:$B$6230,0)),"",INDIRECT("'SorP'!$A$"&amp;MATCH($J339,SorP!$B$1:$B$6230,0))))</f>
        <v/>
      </c>
      <c r="U339" s="241"/>
      <c r="V339" s="275">
        <f>IF(C339="",NA(),MATCH($B339&amp;$C339,'Smelter Look-up'!$J:$J,0))</f>
        <v>484</v>
      </c>
      <c r="W339" s="276"/>
      <c r="X339" s="276">
        <f t="shared" si="49"/>
        <v>0</v>
      </c>
      <c r="Y339" s="276"/>
      <c r="Z339" s="276"/>
      <c r="AB339" s="278" t="str">
        <f t="shared" si="50"/>
        <v>TinSmelter not listed</v>
      </c>
    </row>
    <row r="340" spans="1:28" s="277" customFormat="1" ht="40.5">
      <c r="A340" s="216"/>
      <c r="B340" s="217" t="s">
        <v>1154</v>
      </c>
      <c r="C340" s="221" t="s">
        <v>1898</v>
      </c>
      <c r="D340" s="283" t="s">
        <v>15704</v>
      </c>
      <c r="E340" s="217" t="s">
        <v>1128</v>
      </c>
      <c r="F340" s="217" t="s">
        <v>15705</v>
      </c>
      <c r="G340" s="217" t="s">
        <v>15513</v>
      </c>
      <c r="H340" s="218">
        <f ca="1">IF(ISERROR($V340),"",OFFSET('Smelter Look-up'!$G$4,$V340-4,0))</f>
        <v>0</v>
      </c>
      <c r="I340" s="219">
        <f ca="1">IF(ISERROR($V340),"",OFFSET('Smelter Look-up'!$H$4,$V340-4,0))</f>
        <v>0</v>
      </c>
      <c r="J340" s="219">
        <f ca="1">IF(ISERROR($V340),"",OFFSET('Smelter Look-up'!$I$4,$V340-4,0))</f>
        <v>0</v>
      </c>
      <c r="K340" s="273"/>
      <c r="L340" s="273"/>
      <c r="M340" s="273"/>
      <c r="N340" s="273"/>
      <c r="O340" s="273"/>
      <c r="P340" s="220"/>
      <c r="Q340" s="274"/>
      <c r="R340" s="217" t="str">
        <f ca="1">IF(ISERROR($V340),"",OFFSET('Smelter Look-up'!$C$4,$V340-4,0)&amp;"")</f>
        <v/>
      </c>
      <c r="S340" s="225" t="str">
        <f t="shared" ca="1" si="48"/>
        <v>ID</v>
      </c>
      <c r="T340" s="225" t="str">
        <f ca="1">IF(B340="","",IF(ISERROR(MATCH($J340,SorP!$B$1:$B$6230,0)),"",INDIRECT("'SorP'!$A$"&amp;MATCH($J340,SorP!$B$1:$B$6230,0))))</f>
        <v/>
      </c>
      <c r="U340" s="241"/>
      <c r="V340" s="275">
        <f>IF(C340="",NA(),MATCH($B340&amp;$C340,'Smelter Look-up'!$J:$J,0))</f>
        <v>484</v>
      </c>
      <c r="W340" s="276"/>
      <c r="X340" s="276">
        <f t="shared" si="49"/>
        <v>0</v>
      </c>
      <c r="Y340" s="276"/>
      <c r="Z340" s="276"/>
      <c r="AB340" s="278" t="str">
        <f t="shared" si="50"/>
        <v>TinSmelter not listed</v>
      </c>
    </row>
    <row r="341" spans="1:28" s="277" customFormat="1" ht="40.5">
      <c r="A341" s="216"/>
      <c r="B341" s="217" t="s">
        <v>1154</v>
      </c>
      <c r="C341" s="221" t="s">
        <v>1898</v>
      </c>
      <c r="D341" s="283" t="s">
        <v>15706</v>
      </c>
      <c r="E341" s="217" t="s">
        <v>1128</v>
      </c>
      <c r="F341" s="217" t="s">
        <v>15707</v>
      </c>
      <c r="G341" s="217" t="s">
        <v>13577</v>
      </c>
      <c r="H341" s="218">
        <f ca="1">IF(ISERROR($V341),"",OFFSET('Smelter Look-up'!$G$4,$V341-4,0))</f>
        <v>0</v>
      </c>
      <c r="I341" s="219">
        <f ca="1">IF(ISERROR($V341),"",OFFSET('Smelter Look-up'!$H$4,$V341-4,0))</f>
        <v>0</v>
      </c>
      <c r="J341" s="219">
        <f ca="1">IF(ISERROR($V341),"",OFFSET('Smelter Look-up'!$I$4,$V341-4,0))</f>
        <v>0</v>
      </c>
      <c r="K341" s="273"/>
      <c r="L341" s="273"/>
      <c r="M341" s="273"/>
      <c r="N341" s="273"/>
      <c r="O341" s="273"/>
      <c r="P341" s="220"/>
      <c r="Q341" s="274"/>
      <c r="R341" s="217" t="str">
        <f ca="1">IF(ISERROR($V341),"",OFFSET('Smelter Look-up'!$C$4,$V341-4,0)&amp;"")</f>
        <v/>
      </c>
      <c r="S341" s="225" t="str">
        <f t="shared" ca="1" si="48"/>
        <v>ID</v>
      </c>
      <c r="T341" s="225" t="str">
        <f ca="1">IF(B341="","",IF(ISERROR(MATCH($J341,SorP!$B$1:$B$6230,0)),"",INDIRECT("'SorP'!$A$"&amp;MATCH($J341,SorP!$B$1:$B$6230,0))))</f>
        <v/>
      </c>
      <c r="U341" s="241"/>
      <c r="V341" s="275">
        <f>IF(C341="",NA(),MATCH($B341&amp;$C341,'Smelter Look-up'!$J:$J,0))</f>
        <v>484</v>
      </c>
      <c r="W341" s="276"/>
      <c r="X341" s="276">
        <f t="shared" si="49"/>
        <v>0</v>
      </c>
      <c r="Y341" s="276"/>
      <c r="Z341" s="276"/>
      <c r="AB341" s="278" t="str">
        <f t="shared" si="50"/>
        <v>TinSmelter not listed</v>
      </c>
    </row>
    <row r="342" spans="1:28" s="277" customFormat="1" ht="40.5">
      <c r="A342" s="216"/>
      <c r="B342" s="217" t="s">
        <v>1154</v>
      </c>
      <c r="C342" s="221" t="s">
        <v>1898</v>
      </c>
      <c r="D342" s="283" t="s">
        <v>15708</v>
      </c>
      <c r="E342" s="217" t="s">
        <v>1128</v>
      </c>
      <c r="F342" s="217" t="s">
        <v>15709</v>
      </c>
      <c r="G342" s="217" t="s">
        <v>15513</v>
      </c>
      <c r="H342" s="218">
        <f ca="1">IF(ISERROR($V342),"",OFFSET('Smelter Look-up'!$G$4,$V342-4,0))</f>
        <v>0</v>
      </c>
      <c r="I342" s="219">
        <f ca="1">IF(ISERROR($V342),"",OFFSET('Smelter Look-up'!$H$4,$V342-4,0))</f>
        <v>0</v>
      </c>
      <c r="J342" s="219">
        <f ca="1">IF(ISERROR($V342),"",OFFSET('Smelter Look-up'!$I$4,$V342-4,0))</f>
        <v>0</v>
      </c>
      <c r="K342" s="273"/>
      <c r="L342" s="273"/>
      <c r="M342" s="273"/>
      <c r="N342" s="273"/>
      <c r="O342" s="273"/>
      <c r="P342" s="220"/>
      <c r="Q342" s="274"/>
      <c r="R342" s="217" t="str">
        <f ca="1">IF(ISERROR($V342),"",OFFSET('Smelter Look-up'!$C$4,$V342-4,0)&amp;"")</f>
        <v/>
      </c>
      <c r="S342" s="225" t="str">
        <f t="shared" ca="1" si="48"/>
        <v>ID</v>
      </c>
      <c r="T342" s="225" t="str">
        <f ca="1">IF(B342="","",IF(ISERROR(MATCH($J342,SorP!$B$1:$B$6230,0)),"",INDIRECT("'SorP'!$A$"&amp;MATCH($J342,SorP!$B$1:$B$6230,0))))</f>
        <v/>
      </c>
      <c r="U342" s="241"/>
      <c r="V342" s="275">
        <f>IF(C342="",NA(),MATCH($B342&amp;$C342,'Smelter Look-up'!$J:$J,0))</f>
        <v>484</v>
      </c>
      <c r="W342" s="276"/>
      <c r="X342" s="276">
        <f t="shared" si="49"/>
        <v>0</v>
      </c>
      <c r="Y342" s="276"/>
      <c r="Z342" s="276"/>
      <c r="AB342" s="278" t="str">
        <f t="shared" si="50"/>
        <v>TinSmelter not listed</v>
      </c>
    </row>
    <row r="343" spans="1:28" s="277" customFormat="1" ht="40.5">
      <c r="A343" s="216"/>
      <c r="B343" s="217" t="s">
        <v>1154</v>
      </c>
      <c r="C343" s="221" t="s">
        <v>1898</v>
      </c>
      <c r="D343" s="283" t="s">
        <v>15710</v>
      </c>
      <c r="E343" s="217" t="s">
        <v>1128</v>
      </c>
      <c r="F343" s="217" t="s">
        <v>15711</v>
      </c>
      <c r="G343" s="217" t="s">
        <v>13577</v>
      </c>
      <c r="H343" s="218">
        <f ca="1">IF(ISERROR($V343),"",OFFSET('Smelter Look-up'!$G$4,$V343-4,0))</f>
        <v>0</v>
      </c>
      <c r="I343" s="219">
        <f ca="1">IF(ISERROR($V343),"",OFFSET('Smelter Look-up'!$H$4,$V343-4,0))</f>
        <v>0</v>
      </c>
      <c r="J343" s="219">
        <f ca="1">IF(ISERROR($V343),"",OFFSET('Smelter Look-up'!$I$4,$V343-4,0))</f>
        <v>0</v>
      </c>
      <c r="K343" s="273"/>
      <c r="L343" s="273"/>
      <c r="M343" s="273"/>
      <c r="N343" s="273"/>
      <c r="O343" s="273"/>
      <c r="P343" s="220"/>
      <c r="Q343" s="274"/>
      <c r="R343" s="217" t="str">
        <f ca="1">IF(ISERROR($V343),"",OFFSET('Smelter Look-up'!$C$4,$V343-4,0)&amp;"")</f>
        <v/>
      </c>
      <c r="S343" s="225" t="str">
        <f t="shared" ca="1" si="48"/>
        <v>ID</v>
      </c>
      <c r="T343" s="225" t="str">
        <f ca="1">IF(B343="","",IF(ISERROR(MATCH($J343,SorP!$B$1:$B$6230,0)),"",INDIRECT("'SorP'!$A$"&amp;MATCH($J343,SorP!$B$1:$B$6230,0))))</f>
        <v/>
      </c>
      <c r="U343" s="241"/>
      <c r="V343" s="275">
        <f>IF(C343="",NA(),MATCH($B343&amp;$C343,'Smelter Look-up'!$J:$J,0))</f>
        <v>484</v>
      </c>
      <c r="W343" s="276"/>
      <c r="X343" s="276">
        <f t="shared" si="49"/>
        <v>0</v>
      </c>
      <c r="Y343" s="276"/>
      <c r="Z343" s="276"/>
      <c r="AB343" s="278" t="str">
        <f t="shared" si="50"/>
        <v>TinSmelter not listed</v>
      </c>
    </row>
    <row r="344" spans="1:28" s="277" customFormat="1" ht="40.5">
      <c r="A344" s="216"/>
      <c r="B344" s="217" t="s">
        <v>1154</v>
      </c>
      <c r="C344" s="221" t="s">
        <v>1898</v>
      </c>
      <c r="D344" s="283" t="s">
        <v>15712</v>
      </c>
      <c r="E344" s="217" t="s">
        <v>1128</v>
      </c>
      <c r="F344" s="217" t="s">
        <v>15713</v>
      </c>
      <c r="G344" s="217" t="s">
        <v>13577</v>
      </c>
      <c r="H344" s="218">
        <f ca="1">IF(ISERROR($V344),"",OFFSET('Smelter Look-up'!$G$4,$V344-4,0))</f>
        <v>0</v>
      </c>
      <c r="I344" s="219">
        <f ca="1">IF(ISERROR($V344),"",OFFSET('Smelter Look-up'!$H$4,$V344-4,0))</f>
        <v>0</v>
      </c>
      <c r="J344" s="219">
        <f ca="1">IF(ISERROR($V344),"",OFFSET('Smelter Look-up'!$I$4,$V344-4,0))</f>
        <v>0</v>
      </c>
      <c r="K344" s="273"/>
      <c r="L344" s="273"/>
      <c r="M344" s="273"/>
      <c r="N344" s="273"/>
      <c r="O344" s="273"/>
      <c r="P344" s="220"/>
      <c r="Q344" s="274"/>
      <c r="R344" s="217" t="str">
        <f ca="1">IF(ISERROR($V344),"",OFFSET('Smelter Look-up'!$C$4,$V344-4,0)&amp;"")</f>
        <v/>
      </c>
      <c r="S344" s="225" t="str">
        <f t="shared" ca="1" si="48"/>
        <v>ID</v>
      </c>
      <c r="T344" s="225" t="str">
        <f ca="1">IF(B344="","",IF(ISERROR(MATCH($J344,SorP!$B$1:$B$6230,0)),"",INDIRECT("'SorP'!$A$"&amp;MATCH($J344,SorP!$B$1:$B$6230,0))))</f>
        <v/>
      </c>
      <c r="U344" s="241"/>
      <c r="V344" s="275">
        <f>IF(C344="",NA(),MATCH($B344&amp;$C344,'Smelter Look-up'!$J:$J,0))</f>
        <v>484</v>
      </c>
      <c r="W344" s="276"/>
      <c r="X344" s="276">
        <f t="shared" si="49"/>
        <v>0</v>
      </c>
      <c r="Y344" s="276"/>
      <c r="Z344" s="276"/>
      <c r="AB344" s="278" t="str">
        <f t="shared" si="50"/>
        <v>TinSmelter not listed</v>
      </c>
    </row>
    <row r="345" spans="1:28" s="277" customFormat="1" ht="40.5">
      <c r="A345" s="216"/>
      <c r="B345" s="217" t="s">
        <v>1154</v>
      </c>
      <c r="C345" s="221" t="s">
        <v>1898</v>
      </c>
      <c r="D345" s="283" t="s">
        <v>15714</v>
      </c>
      <c r="E345" s="217" t="s">
        <v>1128</v>
      </c>
      <c r="F345" s="217" t="s">
        <v>15715</v>
      </c>
      <c r="G345" s="217" t="s">
        <v>13577</v>
      </c>
      <c r="H345" s="218">
        <f ca="1">IF(ISERROR($V345),"",OFFSET('Smelter Look-up'!$G$4,$V345-4,0))</f>
        <v>0</v>
      </c>
      <c r="I345" s="219">
        <f ca="1">IF(ISERROR($V345),"",OFFSET('Smelter Look-up'!$H$4,$V345-4,0))</f>
        <v>0</v>
      </c>
      <c r="J345" s="219">
        <f ca="1">IF(ISERROR($V345),"",OFFSET('Smelter Look-up'!$I$4,$V345-4,0))</f>
        <v>0</v>
      </c>
      <c r="K345" s="273"/>
      <c r="L345" s="273"/>
      <c r="M345" s="273"/>
      <c r="N345" s="273"/>
      <c r="O345" s="273"/>
      <c r="P345" s="220"/>
      <c r="Q345" s="274"/>
      <c r="R345" s="217" t="str">
        <f ca="1">IF(ISERROR($V345),"",OFFSET('Smelter Look-up'!$C$4,$V345-4,0)&amp;"")</f>
        <v/>
      </c>
      <c r="S345" s="225" t="str">
        <f t="shared" ca="1" si="48"/>
        <v>ID</v>
      </c>
      <c r="T345" s="225" t="str">
        <f ca="1">IF(B345="","",IF(ISERROR(MATCH($J345,SorP!$B$1:$B$6230,0)),"",INDIRECT("'SorP'!$A$"&amp;MATCH($J345,SorP!$B$1:$B$6230,0))))</f>
        <v/>
      </c>
      <c r="U345" s="241"/>
      <c r="V345" s="275">
        <f>IF(C345="",NA(),MATCH($B345&amp;$C345,'Smelter Look-up'!$J:$J,0))</f>
        <v>484</v>
      </c>
      <c r="W345" s="276"/>
      <c r="X345" s="276">
        <f t="shared" si="49"/>
        <v>0</v>
      </c>
      <c r="Y345" s="276"/>
      <c r="Z345" s="276"/>
      <c r="AB345" s="278" t="str">
        <f t="shared" si="50"/>
        <v>TinSmelter not listed</v>
      </c>
    </row>
    <row r="346" spans="1:28" s="277" customFormat="1" ht="40.5">
      <c r="A346" s="216"/>
      <c r="B346" s="217" t="s">
        <v>1154</v>
      </c>
      <c r="C346" s="221" t="s">
        <v>1898</v>
      </c>
      <c r="D346" s="283" t="s">
        <v>15716</v>
      </c>
      <c r="E346" s="217" t="s">
        <v>1128</v>
      </c>
      <c r="F346" s="217" t="s">
        <v>15717</v>
      </c>
      <c r="G346" s="217" t="s">
        <v>15513</v>
      </c>
      <c r="H346" s="218">
        <f ca="1">IF(ISERROR($V346),"",OFFSET('Smelter Look-up'!$G$4,$V346-4,0))</f>
        <v>0</v>
      </c>
      <c r="I346" s="219">
        <f ca="1">IF(ISERROR($V346),"",OFFSET('Smelter Look-up'!$H$4,$V346-4,0))</f>
        <v>0</v>
      </c>
      <c r="J346" s="219">
        <f ca="1">IF(ISERROR($V346),"",OFFSET('Smelter Look-up'!$I$4,$V346-4,0))</f>
        <v>0</v>
      </c>
      <c r="K346" s="273"/>
      <c r="L346" s="273"/>
      <c r="M346" s="273"/>
      <c r="N346" s="273"/>
      <c r="O346" s="273"/>
      <c r="P346" s="220"/>
      <c r="Q346" s="274"/>
      <c r="R346" s="217" t="str">
        <f ca="1">IF(ISERROR($V346),"",OFFSET('Smelter Look-up'!$C$4,$V346-4,0)&amp;"")</f>
        <v/>
      </c>
      <c r="S346" s="225" t="str">
        <f t="shared" ca="1" si="48"/>
        <v>ID</v>
      </c>
      <c r="T346" s="225" t="str">
        <f ca="1">IF(B346="","",IF(ISERROR(MATCH($J346,SorP!$B$1:$B$6230,0)),"",INDIRECT("'SorP'!$A$"&amp;MATCH($J346,SorP!$B$1:$B$6230,0))))</f>
        <v/>
      </c>
      <c r="U346" s="241"/>
      <c r="V346" s="275">
        <f>IF(C346="",NA(),MATCH($B346&amp;$C346,'Smelter Look-up'!$J:$J,0))</f>
        <v>484</v>
      </c>
      <c r="W346" s="276"/>
      <c r="X346" s="276">
        <f t="shared" si="49"/>
        <v>0</v>
      </c>
      <c r="Y346" s="276"/>
      <c r="Z346" s="276"/>
      <c r="AB346" s="278" t="str">
        <f t="shared" si="50"/>
        <v>TinSmelter not listed</v>
      </c>
    </row>
    <row r="347" spans="1:28" s="277" customFormat="1" ht="54">
      <c r="A347" s="216"/>
      <c r="B347" s="217" t="s">
        <v>1154</v>
      </c>
      <c r="C347" s="221" t="s">
        <v>643</v>
      </c>
      <c r="D347" s="283" t="s">
        <v>643</v>
      </c>
      <c r="E347" s="217" t="s">
        <v>1128</v>
      </c>
      <c r="F347" s="217" t="s">
        <v>800</v>
      </c>
      <c r="G347" s="217" t="s">
        <v>15513</v>
      </c>
      <c r="H347" s="218">
        <f ca="1">IF(ISERROR($V347),"",OFFSET('Smelter Look-up'!$G$4,$V347-4,0))</f>
        <v>0</v>
      </c>
      <c r="I347" s="219" t="str">
        <f ca="1">IF(ISERROR($V347),"",OFFSET('Smelter Look-up'!$H$4,$V347-4,0))</f>
        <v>Sungailiat</v>
      </c>
      <c r="J347" s="219" t="str">
        <f ca="1">IF(ISERROR($V347),"",OFFSET('Smelter Look-up'!$I$4,$V347-4,0))</f>
        <v>Kepulauan Bangka Belitung</v>
      </c>
      <c r="K347" s="273"/>
      <c r="L347" s="273"/>
      <c r="M347" s="273"/>
      <c r="N347" s="273"/>
      <c r="O347" s="273"/>
      <c r="P347" s="220"/>
      <c r="Q347" s="274"/>
      <c r="R347" s="217" t="str">
        <f ca="1">IF(ISERROR($V347),"",OFFSET('Smelter Look-up'!$C$4,$V347-4,0)&amp;"")</f>
        <v>PT Mitra Stania Prima</v>
      </c>
      <c r="S347" s="225" t="str">
        <f t="shared" ca="1" si="48"/>
        <v>ID</v>
      </c>
      <c r="T347" s="225" t="str">
        <f ca="1">IF(B347="","",IF(ISERROR(MATCH($J347,SorP!$B$1:$B$6230,0)),"",INDIRECT("'SorP'!$A$"&amp;MATCH($J347,SorP!$B$1:$B$6230,0))))</f>
        <v>ID-BB</v>
      </c>
      <c r="U347" s="241"/>
      <c r="V347" s="275">
        <f>IF(C347="",NA(),MATCH($B347&amp;$C347,'Smelter Look-up'!$J:$J,0))</f>
        <v>441</v>
      </c>
      <c r="W347" s="276"/>
      <c r="X347" s="276">
        <f t="shared" si="49"/>
        <v>0</v>
      </c>
      <c r="Y347" s="276"/>
      <c r="Z347" s="276"/>
      <c r="AB347" s="278" t="str">
        <f t="shared" si="50"/>
        <v>TinPT Mitra Stania Prima</v>
      </c>
    </row>
    <row r="348" spans="1:28" s="277" customFormat="1" ht="67.5">
      <c r="A348" s="216"/>
      <c r="B348" s="217" t="s">
        <v>1154</v>
      </c>
      <c r="C348" s="221" t="s">
        <v>14225</v>
      </c>
      <c r="D348" s="283" t="s">
        <v>14225</v>
      </c>
      <c r="E348" s="217" t="s">
        <v>1128</v>
      </c>
      <c r="F348" s="217" t="s">
        <v>14241</v>
      </c>
      <c r="G348" s="217" t="s">
        <v>13577</v>
      </c>
      <c r="H348" s="218">
        <f ca="1">IF(ISERROR($V348),"",OFFSET('Smelter Look-up'!$G$4,$V348-4,0))</f>
        <v>0</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PT Mitra Sukses Globalindo</v>
      </c>
      <c r="S348" s="225" t="str">
        <f t="shared" ca="1" si="48"/>
        <v>ID</v>
      </c>
      <c r="T348" s="225" t="str">
        <f ca="1">IF(B348="","",IF(ISERROR(MATCH($J348,SorP!$B$1:$B$6230,0)),"",INDIRECT("'SorP'!$A$"&amp;MATCH($J348,SorP!$B$1:$B$6230,0))))</f>
        <v/>
      </c>
      <c r="U348" s="241"/>
      <c r="V348" s="275">
        <f>IF(C348="",NA(),MATCH($B348&amp;$C348,'Smelter Look-up'!$J:$J,0))</f>
        <v>442</v>
      </c>
      <c r="W348" s="276"/>
      <c r="X348" s="276">
        <f t="shared" si="49"/>
        <v>0</v>
      </c>
      <c r="Y348" s="276"/>
      <c r="Z348" s="276"/>
      <c r="AB348" s="278" t="str">
        <f t="shared" si="50"/>
        <v>TinPT Mitra Sukses Globalindo</v>
      </c>
    </row>
    <row r="349" spans="1:28" s="277" customFormat="1" ht="40.5">
      <c r="A349" s="216"/>
      <c r="B349" s="217" t="s">
        <v>1154</v>
      </c>
      <c r="C349" s="221" t="s">
        <v>1898</v>
      </c>
      <c r="D349" s="283" t="s">
        <v>15718</v>
      </c>
      <c r="E349" s="217" t="s">
        <v>1128</v>
      </c>
      <c r="F349" s="217" t="s">
        <v>14250</v>
      </c>
      <c r="G349" s="217" t="s">
        <v>14250</v>
      </c>
      <c r="H349" s="218">
        <f ca="1">IF(ISERROR($V349),"",OFFSET('Smelter Look-up'!$G$4,$V349-4,0))</f>
        <v>0</v>
      </c>
      <c r="I349" s="219">
        <f ca="1">IF(ISERROR($V349),"",OFFSET('Smelter Look-up'!$H$4,$V349-4,0))</f>
        <v>0</v>
      </c>
      <c r="J349" s="219">
        <f ca="1">IF(ISERROR($V349),"",OFFSET('Smelter Look-up'!$I$4,$V349-4,0))</f>
        <v>0</v>
      </c>
      <c r="K349" s="273"/>
      <c r="L349" s="273"/>
      <c r="M349" s="273"/>
      <c r="N349" s="273"/>
      <c r="O349" s="273"/>
      <c r="P349" s="220"/>
      <c r="Q349" s="274"/>
      <c r="R349" s="217" t="str">
        <f ca="1">IF(ISERROR($V349),"",OFFSET('Smelter Look-up'!$C$4,$V349-4,0)&amp;"")</f>
        <v/>
      </c>
      <c r="S349" s="225" t="str">
        <f t="shared" ca="1" si="48"/>
        <v>ID</v>
      </c>
      <c r="T349" s="225" t="str">
        <f ca="1">IF(B349="","",IF(ISERROR(MATCH($J349,SorP!$B$1:$B$6230,0)),"",INDIRECT("'SorP'!$A$"&amp;MATCH($J349,SorP!$B$1:$B$6230,0))))</f>
        <v/>
      </c>
      <c r="U349" s="241"/>
      <c r="V349" s="275">
        <f>IF(C349="",NA(),MATCH($B349&amp;$C349,'Smelter Look-up'!$J:$J,0))</f>
        <v>484</v>
      </c>
      <c r="W349" s="276"/>
      <c r="X349" s="276">
        <f t="shared" si="49"/>
        <v>0</v>
      </c>
      <c r="Y349" s="276"/>
      <c r="Z349" s="276"/>
      <c r="AB349" s="278" t="str">
        <f t="shared" si="50"/>
        <v>TinSmelter not listed</v>
      </c>
    </row>
    <row r="350" spans="1:28" s="277" customFormat="1" ht="40.5">
      <c r="A350" s="216"/>
      <c r="B350" s="217" t="s">
        <v>1154</v>
      </c>
      <c r="C350" s="221" t="s">
        <v>1898</v>
      </c>
      <c r="D350" s="283" t="s">
        <v>15719</v>
      </c>
      <c r="E350" s="217" t="s">
        <v>1128</v>
      </c>
      <c r="F350" s="217" t="s">
        <v>15720</v>
      </c>
      <c r="G350" s="217" t="s">
        <v>15513</v>
      </c>
      <c r="H350" s="218">
        <f ca="1">IF(ISERROR($V350),"",OFFSET('Smelter Look-up'!$G$4,$V350-4,0))</f>
        <v>0</v>
      </c>
      <c r="I350" s="219">
        <f ca="1">IF(ISERROR($V350),"",OFFSET('Smelter Look-up'!$H$4,$V350-4,0))</f>
        <v>0</v>
      </c>
      <c r="J350" s="219">
        <f ca="1">IF(ISERROR($V350),"",OFFSET('Smelter Look-up'!$I$4,$V350-4,0))</f>
        <v>0</v>
      </c>
      <c r="K350" s="273"/>
      <c r="L350" s="273"/>
      <c r="M350" s="273"/>
      <c r="N350" s="273"/>
      <c r="O350" s="273"/>
      <c r="P350" s="220"/>
      <c r="Q350" s="274"/>
      <c r="R350" s="217" t="str">
        <f ca="1">IF(ISERROR($V350),"",OFFSET('Smelter Look-up'!$C$4,$V350-4,0)&amp;"")</f>
        <v/>
      </c>
      <c r="S350" s="225" t="str">
        <f t="shared" ca="1" si="48"/>
        <v>ID</v>
      </c>
      <c r="T350" s="225" t="str">
        <f ca="1">IF(B350="","",IF(ISERROR(MATCH($J350,SorP!$B$1:$B$6230,0)),"",INDIRECT("'SorP'!$A$"&amp;MATCH($J350,SorP!$B$1:$B$6230,0))))</f>
        <v/>
      </c>
      <c r="U350" s="241"/>
      <c r="V350" s="275">
        <f>IF(C350="",NA(),MATCH($B350&amp;$C350,'Smelter Look-up'!$J:$J,0))</f>
        <v>484</v>
      </c>
      <c r="W350" s="276"/>
      <c r="X350" s="276">
        <f t="shared" si="49"/>
        <v>0</v>
      </c>
      <c r="Y350" s="276"/>
      <c r="Z350" s="276"/>
      <c r="AB350" s="278" t="str">
        <f t="shared" si="50"/>
        <v>TinSmelter not listed</v>
      </c>
    </row>
    <row r="351" spans="1:28" s="277" customFormat="1" ht="40.5">
      <c r="A351" s="216"/>
      <c r="B351" s="217" t="s">
        <v>1154</v>
      </c>
      <c r="C351" s="221" t="s">
        <v>1898</v>
      </c>
      <c r="D351" s="283" t="s">
        <v>15721</v>
      </c>
      <c r="E351" s="217" t="s">
        <v>1128</v>
      </c>
      <c r="F351" s="217" t="s">
        <v>15722</v>
      </c>
      <c r="G351" s="217" t="s">
        <v>13577</v>
      </c>
      <c r="H351" s="218">
        <f ca="1">IF(ISERROR($V351),"",OFFSET('Smelter Look-up'!$G$4,$V351-4,0))</f>
        <v>0</v>
      </c>
      <c r="I351" s="219">
        <f ca="1">IF(ISERROR($V351),"",OFFSET('Smelter Look-up'!$H$4,$V351-4,0))</f>
        <v>0</v>
      </c>
      <c r="J351" s="219">
        <f ca="1">IF(ISERROR($V351),"",OFFSET('Smelter Look-up'!$I$4,$V351-4,0))</f>
        <v>0</v>
      </c>
      <c r="K351" s="273"/>
      <c r="L351" s="273"/>
      <c r="M351" s="273"/>
      <c r="N351" s="273"/>
      <c r="O351" s="273"/>
      <c r="P351" s="220"/>
      <c r="Q351" s="274"/>
      <c r="R351" s="217" t="str">
        <f ca="1">IF(ISERROR($V351),"",OFFSET('Smelter Look-up'!$C$4,$V351-4,0)&amp;"")</f>
        <v/>
      </c>
      <c r="S351" s="225" t="str">
        <f t="shared" ca="1" si="48"/>
        <v>ID</v>
      </c>
      <c r="T351" s="225" t="str">
        <f ca="1">IF(B351="","",IF(ISERROR(MATCH($J351,SorP!$B$1:$B$6230,0)),"",INDIRECT("'SorP'!$A$"&amp;MATCH($J351,SorP!$B$1:$B$6230,0))))</f>
        <v/>
      </c>
      <c r="U351" s="241"/>
      <c r="V351" s="275">
        <f>IF(C351="",NA(),MATCH($B351&amp;$C351,'Smelter Look-up'!$J:$J,0))</f>
        <v>484</v>
      </c>
      <c r="W351" s="276"/>
      <c r="X351" s="276">
        <f t="shared" si="49"/>
        <v>0</v>
      </c>
      <c r="Y351" s="276"/>
      <c r="Z351" s="276"/>
      <c r="AB351" s="278" t="str">
        <f t="shared" si="50"/>
        <v>TinSmelter not listed</v>
      </c>
    </row>
    <row r="352" spans="1:28" s="277" customFormat="1" ht="40.5">
      <c r="A352" s="216"/>
      <c r="B352" s="217" t="s">
        <v>1154</v>
      </c>
      <c r="C352" s="221" t="s">
        <v>1898</v>
      </c>
      <c r="D352" s="283" t="s">
        <v>15723</v>
      </c>
      <c r="E352" s="217" t="s">
        <v>1128</v>
      </c>
      <c r="F352" s="217" t="s">
        <v>15724</v>
      </c>
      <c r="G352" s="217" t="s">
        <v>13577</v>
      </c>
      <c r="H352" s="218">
        <f ca="1">IF(ISERROR($V352),"",OFFSET('Smelter Look-up'!$G$4,$V352-4,0))</f>
        <v>0</v>
      </c>
      <c r="I352" s="219">
        <f ca="1">IF(ISERROR($V352),"",OFFSET('Smelter Look-up'!$H$4,$V352-4,0))</f>
        <v>0</v>
      </c>
      <c r="J352" s="219">
        <f ca="1">IF(ISERROR($V352),"",OFFSET('Smelter Look-up'!$I$4,$V352-4,0))</f>
        <v>0</v>
      </c>
      <c r="K352" s="273"/>
      <c r="L352" s="273"/>
      <c r="M352" s="273"/>
      <c r="N352" s="273"/>
      <c r="O352" s="273"/>
      <c r="P352" s="220"/>
      <c r="Q352" s="274"/>
      <c r="R352" s="217" t="str">
        <f ca="1">IF(ISERROR($V352),"",OFFSET('Smelter Look-up'!$C$4,$V352-4,0)&amp;"")</f>
        <v/>
      </c>
      <c r="S352" s="225" t="str">
        <f t="shared" ca="1" si="48"/>
        <v>ID</v>
      </c>
      <c r="T352" s="225" t="str">
        <f ca="1">IF(B352="","",IF(ISERROR(MATCH($J352,SorP!$B$1:$B$6230,0)),"",INDIRECT("'SorP'!$A$"&amp;MATCH($J352,SorP!$B$1:$B$6230,0))))</f>
        <v/>
      </c>
      <c r="U352" s="241"/>
      <c r="V352" s="275">
        <f>IF(C352="",NA(),MATCH($B352&amp;$C352,'Smelter Look-up'!$J:$J,0))</f>
        <v>484</v>
      </c>
      <c r="W352" s="276"/>
      <c r="X352" s="276">
        <f t="shared" si="49"/>
        <v>0</v>
      </c>
      <c r="Y352" s="276"/>
      <c r="Z352" s="276"/>
      <c r="AB352" s="278" t="str">
        <f t="shared" si="50"/>
        <v>TinSmelter not listed</v>
      </c>
    </row>
    <row r="353" spans="1:28" s="277" customFormat="1" ht="40.5">
      <c r="A353" s="216"/>
      <c r="B353" s="217" t="s">
        <v>1154</v>
      </c>
      <c r="C353" s="221" t="s">
        <v>1898</v>
      </c>
      <c r="D353" s="283" t="s">
        <v>15725</v>
      </c>
      <c r="E353" s="217" t="s">
        <v>1128</v>
      </c>
      <c r="F353" s="217" t="s">
        <v>15726</v>
      </c>
      <c r="G353" s="217" t="s">
        <v>15513</v>
      </c>
      <c r="H353" s="218">
        <f ca="1">IF(ISERROR($V353),"",OFFSET('Smelter Look-up'!$G$4,$V353-4,0))</f>
        <v>0</v>
      </c>
      <c r="I353" s="219">
        <f ca="1">IF(ISERROR($V353),"",OFFSET('Smelter Look-up'!$H$4,$V353-4,0))</f>
        <v>0</v>
      </c>
      <c r="J353" s="219">
        <f ca="1">IF(ISERROR($V353),"",OFFSET('Smelter Look-up'!$I$4,$V353-4,0))</f>
        <v>0</v>
      </c>
      <c r="K353" s="273"/>
      <c r="L353" s="273"/>
      <c r="M353" s="273"/>
      <c r="N353" s="273"/>
      <c r="O353" s="273"/>
      <c r="P353" s="220"/>
      <c r="Q353" s="274"/>
      <c r="R353" s="217" t="str">
        <f ca="1">IF(ISERROR($V353),"",OFFSET('Smelter Look-up'!$C$4,$V353-4,0)&amp;"")</f>
        <v/>
      </c>
      <c r="S353" s="225" t="str">
        <f t="shared" ca="1" si="48"/>
        <v>ID</v>
      </c>
      <c r="T353" s="225" t="str">
        <f ca="1">IF(B353="","",IF(ISERROR(MATCH($J353,SorP!$B$1:$B$6230,0)),"",INDIRECT("'SorP'!$A$"&amp;MATCH($J353,SorP!$B$1:$B$6230,0))))</f>
        <v/>
      </c>
      <c r="U353" s="241"/>
      <c r="V353" s="275">
        <f>IF(C353="",NA(),MATCH($B353&amp;$C353,'Smelter Look-up'!$J:$J,0))</f>
        <v>484</v>
      </c>
      <c r="W353" s="276"/>
      <c r="X353" s="276">
        <f t="shared" si="49"/>
        <v>0</v>
      </c>
      <c r="Y353" s="276"/>
      <c r="Z353" s="276"/>
      <c r="AB353" s="278" t="str">
        <f t="shared" si="50"/>
        <v>TinSmelter not listed</v>
      </c>
    </row>
    <row r="354" spans="1:28" s="277" customFormat="1" ht="40.5">
      <c r="A354" s="216"/>
      <c r="B354" s="217" t="s">
        <v>1154</v>
      </c>
      <c r="C354" s="221" t="s">
        <v>1898</v>
      </c>
      <c r="D354" s="283" t="s">
        <v>15727</v>
      </c>
      <c r="E354" s="217" t="s">
        <v>1128</v>
      </c>
      <c r="F354" s="217" t="s">
        <v>15728</v>
      </c>
      <c r="G354" s="217" t="s">
        <v>14250</v>
      </c>
      <c r="H354" s="218">
        <f ca="1">IF(ISERROR($V354),"",OFFSET('Smelter Look-up'!$G$4,$V354-4,0))</f>
        <v>0</v>
      </c>
      <c r="I354" s="219">
        <f ca="1">IF(ISERROR($V354),"",OFFSET('Smelter Look-up'!$H$4,$V354-4,0))</f>
        <v>0</v>
      </c>
      <c r="J354" s="219">
        <f ca="1">IF(ISERROR($V354),"",OFFSET('Smelter Look-up'!$I$4,$V354-4,0))</f>
        <v>0</v>
      </c>
      <c r="K354" s="273"/>
      <c r="L354" s="273"/>
      <c r="M354" s="273"/>
      <c r="N354" s="273"/>
      <c r="O354" s="273"/>
      <c r="P354" s="220"/>
      <c r="Q354" s="274"/>
      <c r="R354" s="217" t="str">
        <f ca="1">IF(ISERROR($V354),"",OFFSET('Smelter Look-up'!$C$4,$V354-4,0)&amp;"")</f>
        <v/>
      </c>
      <c r="S354" s="225" t="str">
        <f t="shared" ca="1" si="48"/>
        <v>ID</v>
      </c>
      <c r="T354" s="225" t="str">
        <f ca="1">IF(B354="","",IF(ISERROR(MATCH($J354,SorP!$B$1:$B$6230,0)),"",INDIRECT("'SorP'!$A$"&amp;MATCH($J354,SorP!$B$1:$B$6230,0))))</f>
        <v/>
      </c>
      <c r="U354" s="241"/>
      <c r="V354" s="275">
        <f>IF(C354="",NA(),MATCH($B354&amp;$C354,'Smelter Look-up'!$J:$J,0))</f>
        <v>484</v>
      </c>
      <c r="W354" s="276"/>
      <c r="X354" s="276">
        <f t="shared" si="49"/>
        <v>0</v>
      </c>
      <c r="Y354" s="276"/>
      <c r="Z354" s="276"/>
      <c r="AB354" s="278" t="str">
        <f t="shared" si="50"/>
        <v>TinSmelter not listed</v>
      </c>
    </row>
    <row r="355" spans="1:28" s="277" customFormat="1" ht="40.5">
      <c r="A355" s="216"/>
      <c r="B355" s="217" t="s">
        <v>1154</v>
      </c>
      <c r="C355" s="221" t="s">
        <v>1898</v>
      </c>
      <c r="D355" s="283" t="s">
        <v>15729</v>
      </c>
      <c r="E355" s="217" t="s">
        <v>1128</v>
      </c>
      <c r="F355" s="217" t="s">
        <v>15730</v>
      </c>
      <c r="G355" s="217" t="s">
        <v>15513</v>
      </c>
      <c r="H355" s="218">
        <f ca="1">IF(ISERROR($V355),"",OFFSET('Smelter Look-up'!$G$4,$V355-4,0))</f>
        <v>0</v>
      </c>
      <c r="I355" s="219">
        <f ca="1">IF(ISERROR($V355),"",OFFSET('Smelter Look-up'!$H$4,$V355-4,0))</f>
        <v>0</v>
      </c>
      <c r="J355" s="219">
        <f ca="1">IF(ISERROR($V355),"",OFFSET('Smelter Look-up'!$I$4,$V355-4,0))</f>
        <v>0</v>
      </c>
      <c r="K355" s="273"/>
      <c r="L355" s="273"/>
      <c r="M355" s="273"/>
      <c r="N355" s="273"/>
      <c r="O355" s="273"/>
      <c r="P355" s="220"/>
      <c r="Q355" s="274"/>
      <c r="R355" s="217" t="str">
        <f ca="1">IF(ISERROR($V355),"",OFFSET('Smelter Look-up'!$C$4,$V355-4,0)&amp;"")</f>
        <v/>
      </c>
      <c r="S355" s="225" t="str">
        <f t="shared" ca="1" si="48"/>
        <v>ID</v>
      </c>
      <c r="T355" s="225" t="str">
        <f ca="1">IF(B355="","",IF(ISERROR(MATCH($J355,SorP!$B$1:$B$6230,0)),"",INDIRECT("'SorP'!$A$"&amp;MATCH($J355,SorP!$B$1:$B$6230,0))))</f>
        <v/>
      </c>
      <c r="U355" s="241"/>
      <c r="V355" s="275">
        <f>IF(C355="",NA(),MATCH($B355&amp;$C355,'Smelter Look-up'!$J:$J,0))</f>
        <v>484</v>
      </c>
      <c r="W355" s="276"/>
      <c r="X355" s="276">
        <f t="shared" si="49"/>
        <v>0</v>
      </c>
      <c r="Y355" s="276"/>
      <c r="Z355" s="276"/>
      <c r="AB355" s="278" t="str">
        <f t="shared" si="50"/>
        <v>TinSmelter not listed</v>
      </c>
    </row>
    <row r="356" spans="1:28" s="277" customFormat="1" ht="54">
      <c r="A356" s="216"/>
      <c r="B356" s="217" t="s">
        <v>1154</v>
      </c>
      <c r="C356" s="221" t="s">
        <v>2262</v>
      </c>
      <c r="D356" s="283" t="s">
        <v>2262</v>
      </c>
      <c r="E356" s="217" t="s">
        <v>1128</v>
      </c>
      <c r="F356" s="217" t="s">
        <v>801</v>
      </c>
      <c r="G356" s="217" t="s">
        <v>15513</v>
      </c>
      <c r="H356" s="218">
        <f ca="1">IF(ISERROR($V356),"",OFFSET('Smelter Look-up'!$G$4,$V356-4,0))</f>
        <v>0</v>
      </c>
      <c r="I356" s="219" t="str">
        <f ca="1">IF(ISERROR($V356),"",OFFSET('Smelter Look-up'!$H$4,$V356-4,0))</f>
        <v>Sungailiat</v>
      </c>
      <c r="J356" s="219" t="str">
        <f ca="1">IF(ISERROR($V356),"",OFFSET('Smelter Look-up'!$I$4,$V356-4,0))</f>
        <v>Kepulauan Bangka Belitung</v>
      </c>
      <c r="K356" s="273"/>
      <c r="L356" s="273"/>
      <c r="M356" s="273"/>
      <c r="N356" s="273"/>
      <c r="O356" s="273"/>
      <c r="P356" s="220"/>
      <c r="Q356" s="274"/>
      <c r="R356" s="217" t="str">
        <f ca="1">IF(ISERROR($V356),"",OFFSET('Smelter Look-up'!$C$4,$V356-4,0)&amp;"")</f>
        <v>PT Refined Bangka Tin</v>
      </c>
      <c r="S356" s="225" t="str">
        <f t="shared" ca="1" si="48"/>
        <v>ID</v>
      </c>
      <c r="T356" s="225" t="str">
        <f ca="1">IF(B356="","",IF(ISERROR(MATCH($J356,SorP!$B$1:$B$6230,0)),"",INDIRECT("'SorP'!$A$"&amp;MATCH($J356,SorP!$B$1:$B$6230,0))))</f>
        <v>ID-BB</v>
      </c>
      <c r="U356" s="241"/>
      <c r="V356" s="275">
        <f>IF(C356="",NA(),MATCH($B356&amp;$C356,'Smelter Look-up'!$J:$J,0))</f>
        <v>443</v>
      </c>
      <c r="W356" s="276"/>
      <c r="X356" s="276">
        <f t="shared" si="49"/>
        <v>0</v>
      </c>
      <c r="Y356" s="276"/>
      <c r="Z356" s="276"/>
      <c r="AB356" s="278" t="str">
        <f t="shared" si="50"/>
        <v>TinPT Refined Bangka Tin</v>
      </c>
    </row>
    <row r="357" spans="1:28" s="277" customFormat="1" ht="40.5">
      <c r="A357" s="216"/>
      <c r="B357" s="217" t="s">
        <v>1154</v>
      </c>
      <c r="C357" s="221" t="s">
        <v>1898</v>
      </c>
      <c r="D357" s="283" t="s">
        <v>15731</v>
      </c>
      <c r="E357" s="217" t="s">
        <v>1128</v>
      </c>
      <c r="F357" s="217" t="s">
        <v>15732</v>
      </c>
      <c r="G357" s="217" t="s">
        <v>13577</v>
      </c>
      <c r="H357" s="218">
        <f ca="1">IF(ISERROR($V357),"",OFFSET('Smelter Look-up'!$G$4,$V357-4,0))</f>
        <v>0</v>
      </c>
      <c r="I357" s="219">
        <f ca="1">IF(ISERROR($V357),"",OFFSET('Smelter Look-up'!$H$4,$V357-4,0))</f>
        <v>0</v>
      </c>
      <c r="J357" s="219">
        <f ca="1">IF(ISERROR($V357),"",OFFSET('Smelter Look-up'!$I$4,$V357-4,0))</f>
        <v>0</v>
      </c>
      <c r="K357" s="273"/>
      <c r="L357" s="273"/>
      <c r="M357" s="273"/>
      <c r="N357" s="273"/>
      <c r="O357" s="273"/>
      <c r="P357" s="220"/>
      <c r="Q357" s="274"/>
      <c r="R357" s="217" t="str">
        <f ca="1">IF(ISERROR($V357),"",OFFSET('Smelter Look-up'!$C$4,$V357-4,0)&amp;"")</f>
        <v/>
      </c>
      <c r="S357" s="225" t="str">
        <f t="shared" ca="1" si="48"/>
        <v>ID</v>
      </c>
      <c r="T357" s="225" t="str">
        <f ca="1">IF(B357="","",IF(ISERROR(MATCH($J357,SorP!$B$1:$B$6230,0)),"",INDIRECT("'SorP'!$A$"&amp;MATCH($J357,SorP!$B$1:$B$6230,0))))</f>
        <v/>
      </c>
      <c r="U357" s="241"/>
      <c r="V357" s="275">
        <f>IF(C357="",NA(),MATCH($B357&amp;$C357,'Smelter Look-up'!$J:$J,0))</f>
        <v>484</v>
      </c>
      <c r="W357" s="276"/>
      <c r="X357" s="276">
        <f t="shared" si="49"/>
        <v>0</v>
      </c>
      <c r="Y357" s="276"/>
      <c r="Z357" s="276"/>
      <c r="AB357" s="278" t="str">
        <f t="shared" si="50"/>
        <v>TinSmelter not listed</v>
      </c>
    </row>
    <row r="358" spans="1:28" s="277" customFormat="1" ht="40.5">
      <c r="A358" s="216"/>
      <c r="B358" s="217" t="s">
        <v>1154</v>
      </c>
      <c r="C358" s="221" t="s">
        <v>1898</v>
      </c>
      <c r="D358" s="283" t="s">
        <v>15733</v>
      </c>
      <c r="E358" s="217" t="s">
        <v>1128</v>
      </c>
      <c r="F358" s="217" t="s">
        <v>15734</v>
      </c>
      <c r="G358" s="217" t="s">
        <v>15513</v>
      </c>
      <c r="H358" s="218">
        <f ca="1">IF(ISERROR($V358),"",OFFSET('Smelter Look-up'!$G$4,$V358-4,0))</f>
        <v>0</v>
      </c>
      <c r="I358" s="219">
        <f ca="1">IF(ISERROR($V358),"",OFFSET('Smelter Look-up'!$H$4,$V358-4,0))</f>
        <v>0</v>
      </c>
      <c r="J358" s="219">
        <f ca="1">IF(ISERROR($V358),"",OFFSET('Smelter Look-up'!$I$4,$V358-4,0))</f>
        <v>0</v>
      </c>
      <c r="K358" s="273"/>
      <c r="L358" s="273"/>
      <c r="M358" s="273"/>
      <c r="N358" s="273"/>
      <c r="O358" s="273"/>
      <c r="P358" s="220"/>
      <c r="Q358" s="274"/>
      <c r="R358" s="217" t="str">
        <f ca="1">IF(ISERROR($V358),"",OFFSET('Smelter Look-up'!$C$4,$V358-4,0)&amp;"")</f>
        <v/>
      </c>
      <c r="S358" s="225" t="str">
        <f t="shared" ref="S358:S388" ca="1" si="51">IF(B358="","",IF(ISERROR(MATCH($E358,CL,0)),"Unknown",INDIRECT("'C'!$A$"&amp;MATCH($E358,CL,0)+1)))</f>
        <v>ID</v>
      </c>
      <c r="T358" s="225" t="str">
        <f ca="1">IF(B358="","",IF(ISERROR(MATCH($J358,SorP!$B$1:$B$6230,0)),"",INDIRECT("'SorP'!$A$"&amp;MATCH($J358,SorP!$B$1:$B$6230,0))))</f>
        <v/>
      </c>
      <c r="U358" s="241"/>
      <c r="V358" s="275">
        <f>IF(C358="",NA(),MATCH($B358&amp;$C358,'Smelter Look-up'!$J:$J,0))</f>
        <v>484</v>
      </c>
      <c r="W358" s="276"/>
      <c r="X358" s="276">
        <f t="shared" ref="X358:X388" si="52">IF(AND(C358="Smelter not listed",OR(LEN(D358)=0,LEN(E358)=0)),1,0)</f>
        <v>0</v>
      </c>
      <c r="Y358" s="276"/>
      <c r="Z358" s="276"/>
      <c r="AB358" s="278" t="str">
        <f t="shared" ref="AB358:AB388" si="53">B358&amp;C358</f>
        <v>TinSmelter not listed</v>
      </c>
    </row>
    <row r="359" spans="1:28" s="277" customFormat="1" ht="40.5">
      <c r="A359" s="216"/>
      <c r="B359" s="217" t="s">
        <v>1154</v>
      </c>
      <c r="C359" s="221" t="s">
        <v>1898</v>
      </c>
      <c r="D359" s="283" t="s">
        <v>15735</v>
      </c>
      <c r="E359" s="217" t="s">
        <v>1128</v>
      </c>
      <c r="F359" s="217" t="s">
        <v>15736</v>
      </c>
      <c r="G359" s="217" t="s">
        <v>13577</v>
      </c>
      <c r="H359" s="218">
        <f ca="1">IF(ISERROR($V359),"",OFFSET('Smelter Look-up'!$G$4,$V359-4,0))</f>
        <v>0</v>
      </c>
      <c r="I359" s="219">
        <f ca="1">IF(ISERROR($V359),"",OFFSET('Smelter Look-up'!$H$4,$V359-4,0))</f>
        <v>0</v>
      </c>
      <c r="J359" s="219">
        <f ca="1">IF(ISERROR($V359),"",OFFSET('Smelter Look-up'!$I$4,$V359-4,0))</f>
        <v>0</v>
      </c>
      <c r="K359" s="273"/>
      <c r="L359" s="273"/>
      <c r="M359" s="273"/>
      <c r="N359" s="273"/>
      <c r="O359" s="273"/>
      <c r="P359" s="220"/>
      <c r="Q359" s="274"/>
      <c r="R359" s="217" t="str">
        <f ca="1">IF(ISERROR($V359),"",OFFSET('Smelter Look-up'!$C$4,$V359-4,0)&amp;"")</f>
        <v/>
      </c>
      <c r="S359" s="225" t="str">
        <f t="shared" ca="1" si="51"/>
        <v>ID</v>
      </c>
      <c r="T359" s="225" t="str">
        <f ca="1">IF(B359="","",IF(ISERROR(MATCH($J359,SorP!$B$1:$B$6230,0)),"",INDIRECT("'SorP'!$A$"&amp;MATCH($J359,SorP!$B$1:$B$6230,0))))</f>
        <v/>
      </c>
      <c r="U359" s="241"/>
      <c r="V359" s="275">
        <f>IF(C359="",NA(),MATCH($B359&amp;$C359,'Smelter Look-up'!$J:$J,0))</f>
        <v>484</v>
      </c>
      <c r="W359" s="276"/>
      <c r="X359" s="276">
        <f t="shared" si="52"/>
        <v>0</v>
      </c>
      <c r="Y359" s="276"/>
      <c r="Z359" s="276"/>
      <c r="AB359" s="278" t="str">
        <f t="shared" si="53"/>
        <v>TinSmelter not listed</v>
      </c>
    </row>
    <row r="360" spans="1:28" s="277" customFormat="1" ht="40.5">
      <c r="A360" s="216"/>
      <c r="B360" s="217" t="s">
        <v>1154</v>
      </c>
      <c r="C360" s="221" t="s">
        <v>1898</v>
      </c>
      <c r="D360" s="283" t="s">
        <v>15737</v>
      </c>
      <c r="E360" s="217" t="s">
        <v>1128</v>
      </c>
      <c r="F360" s="217" t="s">
        <v>15738</v>
      </c>
      <c r="G360" s="217" t="s">
        <v>13577</v>
      </c>
      <c r="H360" s="218">
        <f ca="1">IF(ISERROR($V360),"",OFFSET('Smelter Look-up'!$G$4,$V360-4,0))</f>
        <v>0</v>
      </c>
      <c r="I360" s="219">
        <f ca="1">IF(ISERROR($V360),"",OFFSET('Smelter Look-up'!$H$4,$V360-4,0))</f>
        <v>0</v>
      </c>
      <c r="J360" s="219">
        <f ca="1">IF(ISERROR($V360),"",OFFSET('Smelter Look-up'!$I$4,$V360-4,0))</f>
        <v>0</v>
      </c>
      <c r="K360" s="273"/>
      <c r="L360" s="273"/>
      <c r="M360" s="273"/>
      <c r="N360" s="273"/>
      <c r="O360" s="273"/>
      <c r="P360" s="220"/>
      <c r="Q360" s="274"/>
      <c r="R360" s="217" t="str">
        <f ca="1">IF(ISERROR($V360),"",OFFSET('Smelter Look-up'!$C$4,$V360-4,0)&amp;"")</f>
        <v/>
      </c>
      <c r="S360" s="225" t="str">
        <f t="shared" ca="1" si="51"/>
        <v>ID</v>
      </c>
      <c r="T360" s="225" t="str">
        <f ca="1">IF(B360="","",IF(ISERROR(MATCH($J360,SorP!$B$1:$B$6230,0)),"",INDIRECT("'SorP'!$A$"&amp;MATCH($J360,SorP!$B$1:$B$6230,0))))</f>
        <v/>
      </c>
      <c r="U360" s="241"/>
      <c r="V360" s="275">
        <f>IF(C360="",NA(),MATCH($B360&amp;$C360,'Smelter Look-up'!$J:$J,0))</f>
        <v>484</v>
      </c>
      <c r="W360" s="276"/>
      <c r="X360" s="276">
        <f t="shared" si="52"/>
        <v>0</v>
      </c>
      <c r="Y360" s="276"/>
      <c r="Z360" s="276"/>
      <c r="AB360" s="278" t="str">
        <f t="shared" si="53"/>
        <v>TinSmelter not listed</v>
      </c>
    </row>
    <row r="361" spans="1:28" s="277" customFormat="1" ht="229.5">
      <c r="A361" s="216"/>
      <c r="B361" s="217" t="s">
        <v>1154</v>
      </c>
      <c r="C361" s="221" t="s">
        <v>1898</v>
      </c>
      <c r="D361" s="283" t="s">
        <v>15739</v>
      </c>
      <c r="E361" s="217" t="s">
        <v>1128</v>
      </c>
      <c r="F361" s="217" t="s">
        <v>15740</v>
      </c>
      <c r="G361" s="217" t="s">
        <v>13577</v>
      </c>
      <c r="H361" s="218" t="s">
        <v>15741</v>
      </c>
      <c r="I361" s="219" t="s">
        <v>14250</v>
      </c>
      <c r="J361" s="219" t="s">
        <v>14250</v>
      </c>
      <c r="K361" s="273" t="s">
        <v>15742</v>
      </c>
      <c r="L361" s="273" t="s">
        <v>15743</v>
      </c>
      <c r="M361" s="273"/>
      <c r="N361" s="273"/>
      <c r="O361" s="273" t="s">
        <v>15744</v>
      </c>
      <c r="P361" s="220"/>
      <c r="Q361" s="274"/>
      <c r="R361" s="217" t="str">
        <f ca="1">IF(ISERROR($V361),"",OFFSET('Smelter Look-up'!$C$4,$V361-4,0)&amp;"")</f>
        <v/>
      </c>
      <c r="S361" s="225" t="str">
        <f t="shared" ca="1" si="51"/>
        <v>ID</v>
      </c>
      <c r="T361" s="225" t="str">
        <f ca="1">IF(B361="","",IF(ISERROR(MATCH($J361,SorP!$B$1:$B$6230,0)),"",INDIRECT("'SorP'!$A$"&amp;MATCH($J361,SorP!$B$1:$B$6230,0))))</f>
        <v/>
      </c>
      <c r="U361" s="241"/>
      <c r="V361" s="275">
        <f>IF(C361="",NA(),MATCH($B361&amp;$C361,'Smelter Look-up'!$J:$J,0))</f>
        <v>484</v>
      </c>
      <c r="W361" s="276"/>
      <c r="X361" s="276">
        <f t="shared" si="52"/>
        <v>0</v>
      </c>
      <c r="Y361" s="276"/>
      <c r="Z361" s="276"/>
      <c r="AB361" s="278" t="str">
        <f t="shared" si="53"/>
        <v>TinSmelter not listed</v>
      </c>
    </row>
    <row r="362" spans="1:28" s="277" customFormat="1" ht="54">
      <c r="A362" s="216"/>
      <c r="B362" s="217" t="s">
        <v>1154</v>
      </c>
      <c r="C362" s="221" t="s">
        <v>14152</v>
      </c>
      <c r="D362" s="283" t="s">
        <v>14152</v>
      </c>
      <c r="E362" s="217" t="s">
        <v>1128</v>
      </c>
      <c r="F362" s="217" t="s">
        <v>824</v>
      </c>
      <c r="G362" s="217" t="s">
        <v>15513</v>
      </c>
      <c r="H362" s="218">
        <f ca="1">IF(ISERROR($V362),"",OFFSET('Smelter Look-up'!$G$4,$V362-4,0))</f>
        <v>0</v>
      </c>
      <c r="I362" s="219" t="str">
        <f ca="1">IF(ISERROR($V362),"",OFFSET('Smelter Look-up'!$H$4,$V362-4,0))</f>
        <v>Kundur</v>
      </c>
      <c r="J362" s="219" t="str">
        <f ca="1">IF(ISERROR($V362),"",OFFSET('Smelter Look-up'!$I$4,$V362-4,0))</f>
        <v>Riau</v>
      </c>
      <c r="K362" s="273"/>
      <c r="L362" s="273"/>
      <c r="M362" s="273"/>
      <c r="N362" s="273"/>
      <c r="O362" s="273"/>
      <c r="P362" s="220"/>
      <c r="Q362" s="274"/>
      <c r="R362" s="217" t="str">
        <f ca="1">IF(ISERROR($V362),"",OFFSET('Smelter Look-up'!$C$4,$V362-4,0)&amp;"")</f>
        <v>PT Timah Tbk Kundur</v>
      </c>
      <c r="S362" s="225" t="str">
        <f t="shared" ca="1" si="51"/>
        <v>ID</v>
      </c>
      <c r="T362" s="225" t="str">
        <f ca="1">IF(B362="","",IF(ISERROR(MATCH($J362,SorP!$B$1:$B$6230,0)),"",INDIRECT("'SorP'!$A$"&amp;MATCH($J362,SorP!$B$1:$B$6230,0))))</f>
        <v>ID-RI</v>
      </c>
      <c r="U362" s="241"/>
      <c r="V362" s="275">
        <f>IF(C362="",NA(),MATCH($B362&amp;$C362,'Smelter Look-up'!$J:$J,0))</f>
        <v>445</v>
      </c>
      <c r="W362" s="276"/>
      <c r="X362" s="276">
        <f t="shared" si="52"/>
        <v>0</v>
      </c>
      <c r="Y362" s="276"/>
      <c r="Z362" s="276"/>
      <c r="AB362" s="278" t="str">
        <f t="shared" si="53"/>
        <v>TinPT Timah Tbk Kundur</v>
      </c>
    </row>
    <row r="363" spans="1:28" s="277" customFormat="1" ht="54">
      <c r="A363" s="216"/>
      <c r="B363" s="217" t="s">
        <v>1154</v>
      </c>
      <c r="C363" s="221" t="s">
        <v>14151</v>
      </c>
      <c r="D363" s="283" t="s">
        <v>14151</v>
      </c>
      <c r="E363" s="217" t="s">
        <v>1128</v>
      </c>
      <c r="F363" s="217" t="s">
        <v>802</v>
      </c>
      <c r="G363" s="217" t="s">
        <v>15513</v>
      </c>
      <c r="H363" s="218">
        <f ca="1">IF(ISERROR($V363),"",OFFSET('Smelter Look-up'!$G$4,$V363-4,0))</f>
        <v>0</v>
      </c>
      <c r="I363" s="219" t="str">
        <f ca="1">IF(ISERROR($V363),"",OFFSET('Smelter Look-up'!$H$4,$V363-4,0))</f>
        <v>Mentok</v>
      </c>
      <c r="J363" s="219" t="str">
        <f ca="1">IF(ISERROR($V363),"",OFFSET('Smelter Look-up'!$I$4,$V363-4,0))</f>
        <v>Kepulauan Bangka Belitung</v>
      </c>
      <c r="K363" s="273"/>
      <c r="L363" s="273"/>
      <c r="M363" s="273"/>
      <c r="N363" s="273"/>
      <c r="O363" s="273"/>
      <c r="P363" s="220"/>
      <c r="Q363" s="274"/>
      <c r="R363" s="217" t="str">
        <f ca="1">IF(ISERROR($V363),"",OFFSET('Smelter Look-up'!$C$4,$V363-4,0)&amp;"")</f>
        <v>PT Timah Tbk Mentok</v>
      </c>
      <c r="S363" s="225" t="str">
        <f t="shared" ca="1" si="51"/>
        <v>ID</v>
      </c>
      <c r="T363" s="225" t="str">
        <f ca="1">IF(B363="","",IF(ISERROR(MATCH($J363,SorP!$B$1:$B$6230,0)),"",INDIRECT("'SorP'!$A$"&amp;MATCH($J363,SorP!$B$1:$B$6230,0))))</f>
        <v>ID-BB</v>
      </c>
      <c r="U363" s="241"/>
      <c r="V363" s="275">
        <f>IF(C363="",NA(),MATCH($B363&amp;$C363,'Smelter Look-up'!$J:$J,0))</f>
        <v>446</v>
      </c>
      <c r="W363" s="276"/>
      <c r="X363" s="276">
        <f t="shared" si="52"/>
        <v>0</v>
      </c>
      <c r="Y363" s="276"/>
      <c r="Z363" s="276"/>
      <c r="AB363" s="278" t="str">
        <f t="shared" si="53"/>
        <v>TinPT Timah Tbk Mentok</v>
      </c>
    </row>
    <row r="364" spans="1:28" s="277" customFormat="1" ht="40.5">
      <c r="A364" s="216"/>
      <c r="B364" s="217" t="s">
        <v>1154</v>
      </c>
      <c r="C364" s="221" t="s">
        <v>1898</v>
      </c>
      <c r="D364" s="283" t="s">
        <v>15745</v>
      </c>
      <c r="E364" s="217" t="s">
        <v>1128</v>
      </c>
      <c r="F364" s="217" t="s">
        <v>15746</v>
      </c>
      <c r="G364" s="217" t="s">
        <v>15513</v>
      </c>
      <c r="H364" s="218">
        <f ca="1">IF(ISERROR($V364),"",OFFSET('Smelter Look-up'!$G$4,$V364-4,0))</f>
        <v>0</v>
      </c>
      <c r="I364" s="219">
        <f ca="1">IF(ISERROR($V364),"",OFFSET('Smelter Look-up'!$H$4,$V364-4,0))</f>
        <v>0</v>
      </c>
      <c r="J364" s="219">
        <f ca="1">IF(ISERROR($V364),"",OFFSET('Smelter Look-up'!$I$4,$V364-4,0))</f>
        <v>0</v>
      </c>
      <c r="K364" s="273"/>
      <c r="L364" s="273"/>
      <c r="M364" s="273"/>
      <c r="N364" s="273"/>
      <c r="O364" s="273"/>
      <c r="P364" s="220"/>
      <c r="Q364" s="274"/>
      <c r="R364" s="217" t="str">
        <f ca="1">IF(ISERROR($V364),"",OFFSET('Smelter Look-up'!$C$4,$V364-4,0)&amp;"")</f>
        <v/>
      </c>
      <c r="S364" s="225" t="str">
        <f t="shared" ca="1" si="51"/>
        <v>ID</v>
      </c>
      <c r="T364" s="225" t="str">
        <f ca="1">IF(B364="","",IF(ISERROR(MATCH($J364,SorP!$B$1:$B$6230,0)),"",INDIRECT("'SorP'!$A$"&amp;MATCH($J364,SorP!$B$1:$B$6230,0))))</f>
        <v/>
      </c>
      <c r="U364" s="241"/>
      <c r="V364" s="275">
        <f>IF(C364="",NA(),MATCH($B364&amp;$C364,'Smelter Look-up'!$J:$J,0))</f>
        <v>484</v>
      </c>
      <c r="W364" s="276"/>
      <c r="X364" s="276">
        <f t="shared" si="52"/>
        <v>0</v>
      </c>
      <c r="Y364" s="276"/>
      <c r="Z364" s="276"/>
      <c r="AB364" s="278" t="str">
        <f t="shared" si="53"/>
        <v>TinSmelter not listed</v>
      </c>
    </row>
    <row r="365" spans="1:28" s="277" customFormat="1" ht="40.5">
      <c r="A365" s="216"/>
      <c r="B365" s="217" t="s">
        <v>1154</v>
      </c>
      <c r="C365" s="221" t="s">
        <v>1898</v>
      </c>
      <c r="D365" s="283" t="s">
        <v>15747</v>
      </c>
      <c r="E365" s="217" t="s">
        <v>1128</v>
      </c>
      <c r="F365" s="217" t="s">
        <v>15748</v>
      </c>
      <c r="G365" s="217" t="s">
        <v>13577</v>
      </c>
      <c r="H365" s="218">
        <f ca="1">IF(ISERROR($V365),"",OFFSET('Smelter Look-up'!$G$4,$V365-4,0))</f>
        <v>0</v>
      </c>
      <c r="I365" s="219">
        <f ca="1">IF(ISERROR($V365),"",OFFSET('Smelter Look-up'!$H$4,$V365-4,0))</f>
        <v>0</v>
      </c>
      <c r="J365" s="219">
        <f ca="1">IF(ISERROR($V365),"",OFFSET('Smelter Look-up'!$I$4,$V365-4,0))</f>
        <v>0</v>
      </c>
      <c r="K365" s="273"/>
      <c r="L365" s="273"/>
      <c r="M365" s="273"/>
      <c r="N365" s="273"/>
      <c r="O365" s="273"/>
      <c r="P365" s="220"/>
      <c r="Q365" s="274"/>
      <c r="R365" s="217" t="str">
        <f ca="1">IF(ISERROR($V365),"",OFFSET('Smelter Look-up'!$C$4,$V365-4,0)&amp;"")</f>
        <v/>
      </c>
      <c r="S365" s="225" t="str">
        <f t="shared" ca="1" si="51"/>
        <v>ID</v>
      </c>
      <c r="T365" s="225" t="str">
        <f ca="1">IF(B365="","",IF(ISERROR(MATCH($J365,SorP!$B$1:$B$6230,0)),"",INDIRECT("'SorP'!$A$"&amp;MATCH($J365,SorP!$B$1:$B$6230,0))))</f>
        <v/>
      </c>
      <c r="U365" s="241"/>
      <c r="V365" s="275">
        <f>IF(C365="",NA(),MATCH($B365&amp;$C365,'Smelter Look-up'!$J:$J,0))</f>
        <v>484</v>
      </c>
      <c r="W365" s="276"/>
      <c r="X365" s="276">
        <f t="shared" si="52"/>
        <v>0</v>
      </c>
      <c r="Y365" s="276"/>
      <c r="Z365" s="276"/>
      <c r="AB365" s="278" t="str">
        <f t="shared" si="53"/>
        <v>TinSmelter not listed</v>
      </c>
    </row>
    <row r="366" spans="1:28" s="277" customFormat="1" ht="40.5">
      <c r="A366" s="216"/>
      <c r="B366" s="217" t="s">
        <v>1154</v>
      </c>
      <c r="C366" s="221" t="s">
        <v>1898</v>
      </c>
      <c r="D366" s="283" t="s">
        <v>15749</v>
      </c>
      <c r="E366" s="217" t="s">
        <v>1128</v>
      </c>
      <c r="F366" s="217" t="s">
        <v>15750</v>
      </c>
      <c r="G366" s="217" t="s">
        <v>13577</v>
      </c>
      <c r="H366" s="218">
        <f ca="1">IF(ISERROR($V366),"",OFFSET('Smelter Look-up'!$G$4,$V366-4,0))</f>
        <v>0</v>
      </c>
      <c r="I366" s="219">
        <f ca="1">IF(ISERROR($V366),"",OFFSET('Smelter Look-up'!$H$4,$V366-4,0))</f>
        <v>0</v>
      </c>
      <c r="J366" s="219">
        <f ca="1">IF(ISERROR($V366),"",OFFSET('Smelter Look-up'!$I$4,$V366-4,0))</f>
        <v>0</v>
      </c>
      <c r="K366" s="273"/>
      <c r="L366" s="273"/>
      <c r="M366" s="273"/>
      <c r="N366" s="273"/>
      <c r="O366" s="273"/>
      <c r="P366" s="220"/>
      <c r="Q366" s="274"/>
      <c r="R366" s="217" t="str">
        <f ca="1">IF(ISERROR($V366),"",OFFSET('Smelter Look-up'!$C$4,$V366-4,0)&amp;"")</f>
        <v/>
      </c>
      <c r="S366" s="225" t="str">
        <f t="shared" ca="1" si="51"/>
        <v>ID</v>
      </c>
      <c r="T366" s="225" t="str">
        <f ca="1">IF(B366="","",IF(ISERROR(MATCH($J366,SorP!$B$1:$B$6230,0)),"",INDIRECT("'SorP'!$A$"&amp;MATCH($J366,SorP!$B$1:$B$6230,0))))</f>
        <v/>
      </c>
      <c r="U366" s="241"/>
      <c r="V366" s="275">
        <f>IF(C366="",NA(),MATCH($B366&amp;$C366,'Smelter Look-up'!$J:$J,0))</f>
        <v>484</v>
      </c>
      <c r="W366" s="276"/>
      <c r="X366" s="276">
        <f t="shared" si="52"/>
        <v>0</v>
      </c>
      <c r="Y366" s="276"/>
      <c r="Z366" s="276"/>
      <c r="AB366" s="278" t="str">
        <f t="shared" si="53"/>
        <v>TinSmelter not listed</v>
      </c>
    </row>
    <row r="367" spans="1:28" s="277" customFormat="1" ht="40.5">
      <c r="A367" s="216"/>
      <c r="B367" s="217" t="s">
        <v>1154</v>
      </c>
      <c r="C367" s="221" t="s">
        <v>1898</v>
      </c>
      <c r="D367" s="283" t="s">
        <v>15751</v>
      </c>
      <c r="E367" s="217" t="s">
        <v>1128</v>
      </c>
      <c r="F367" s="217" t="s">
        <v>15752</v>
      </c>
      <c r="G367" s="217" t="s">
        <v>15513</v>
      </c>
      <c r="H367" s="218">
        <f ca="1">IF(ISERROR($V367),"",OFFSET('Smelter Look-up'!$G$4,$V367-4,0))</f>
        <v>0</v>
      </c>
      <c r="I367" s="219">
        <f ca="1">IF(ISERROR($V367),"",OFFSET('Smelter Look-up'!$H$4,$V367-4,0))</f>
        <v>0</v>
      </c>
      <c r="J367" s="219">
        <f ca="1">IF(ISERROR($V367),"",OFFSET('Smelter Look-up'!$I$4,$V367-4,0))</f>
        <v>0</v>
      </c>
      <c r="K367" s="273"/>
      <c r="L367" s="273"/>
      <c r="M367" s="273"/>
      <c r="N367" s="273"/>
      <c r="O367" s="273"/>
      <c r="P367" s="220"/>
      <c r="Q367" s="274"/>
      <c r="R367" s="217" t="str">
        <f ca="1">IF(ISERROR($V367),"",OFFSET('Smelter Look-up'!$C$4,$V367-4,0)&amp;"")</f>
        <v/>
      </c>
      <c r="S367" s="225" t="str">
        <f t="shared" ca="1" si="51"/>
        <v>ID</v>
      </c>
      <c r="T367" s="225" t="str">
        <f ca="1">IF(B367="","",IF(ISERROR(MATCH($J367,SorP!$B$1:$B$6230,0)),"",INDIRECT("'SorP'!$A$"&amp;MATCH($J367,SorP!$B$1:$B$6230,0))))</f>
        <v/>
      </c>
      <c r="U367" s="241"/>
      <c r="V367" s="275">
        <f>IF(C367="",NA(),MATCH($B367&amp;$C367,'Smelter Look-up'!$J:$J,0))</f>
        <v>484</v>
      </c>
      <c r="W367" s="276"/>
      <c r="X367" s="276">
        <f t="shared" si="52"/>
        <v>0</v>
      </c>
      <c r="Y367" s="276"/>
      <c r="Z367" s="276"/>
      <c r="AB367" s="278" t="str">
        <f t="shared" si="53"/>
        <v>TinSmelter not listed</v>
      </c>
    </row>
    <row r="368" spans="1:28" s="277" customFormat="1" ht="40.5">
      <c r="A368" s="216"/>
      <c r="B368" s="217" t="s">
        <v>1153</v>
      </c>
      <c r="C368" s="221" t="s">
        <v>12759</v>
      </c>
      <c r="D368" s="283" t="s">
        <v>12759</v>
      </c>
      <c r="E368" s="217" t="s">
        <v>1121</v>
      </c>
      <c r="F368" s="217" t="s">
        <v>738</v>
      </c>
      <c r="G368" s="217" t="s">
        <v>15513</v>
      </c>
      <c r="H368" s="218">
        <f ca="1">IF(ISERROR($V368),"",OFFSET('Smelter Look-up'!$G$4,$V368-4,0))</f>
        <v>0</v>
      </c>
      <c r="I368" s="219" t="str">
        <f ca="1">IF(ISERROR($V368),"",OFFSET('Smelter Look-up'!$H$4,$V368-4,0))</f>
        <v>La Chaux-de-Fonds</v>
      </c>
      <c r="J368" s="219" t="str">
        <f ca="1">IF(ISERROR($V368),"",OFFSET('Smelter Look-up'!$I$4,$V368-4,0))</f>
        <v>Neuchâtel</v>
      </c>
      <c r="K368" s="273"/>
      <c r="L368" s="273"/>
      <c r="M368" s="273"/>
      <c r="N368" s="273"/>
      <c r="O368" s="273"/>
      <c r="P368" s="220"/>
      <c r="Q368" s="274"/>
      <c r="R368" s="217" t="str">
        <f ca="1">IF(ISERROR($V368),"",OFFSET('Smelter Look-up'!$C$4,$V368-4,0)&amp;"")</f>
        <v>PX Precinox S.A.</v>
      </c>
      <c r="S368" s="225" t="str">
        <f t="shared" ca="1" si="51"/>
        <v>CH</v>
      </c>
      <c r="T368" s="225" t="str">
        <f ca="1">IF(B368="","",IF(ISERROR(MATCH($J368,SorP!$B$1:$B$6230,0)),"",INDIRECT("'SorP'!$A$"&amp;MATCH($J368,SorP!$B$1:$B$6230,0))))</f>
        <v>CH-NE</v>
      </c>
      <c r="U368" s="241"/>
      <c r="V368" s="275">
        <f>IF(C368="",NA(),MATCH($B368&amp;$C368,'Smelter Look-up'!$J:$J,0))</f>
        <v>194</v>
      </c>
      <c r="W368" s="276"/>
      <c r="X368" s="276">
        <f t="shared" si="52"/>
        <v>0</v>
      </c>
      <c r="Y368" s="276"/>
      <c r="Z368" s="276"/>
      <c r="AB368" s="278" t="str">
        <f t="shared" si="53"/>
        <v>GoldPX Precinox S.A.</v>
      </c>
    </row>
    <row r="369" spans="1:28" s="277" customFormat="1" ht="40.5">
      <c r="A369" s="216"/>
      <c r="B369" s="217" t="s">
        <v>1153</v>
      </c>
      <c r="C369" s="221" t="s">
        <v>13515</v>
      </c>
      <c r="D369" s="283" t="s">
        <v>13515</v>
      </c>
      <c r="E369" s="217" t="s">
        <v>2576</v>
      </c>
      <c r="F369" s="217" t="s">
        <v>13516</v>
      </c>
      <c r="G369" s="217" t="s">
        <v>14250</v>
      </c>
      <c r="H369" s="218">
        <f ca="1">IF(ISERROR($V369),"",OFFSET('Smelter Look-up'!$G$4,$V369-4,0))</f>
        <v>0</v>
      </c>
      <c r="I369" s="219" t="str">
        <f ca="1">IF(ISERROR($V369),"",OFFSET('Smelter Look-up'!$H$4,$V369-4,0))</f>
        <v>Fairfield</v>
      </c>
      <c r="J369" s="219" t="str">
        <f ca="1">IF(ISERROR($V369),"",OFFSET('Smelter Look-up'!$I$4,$V369-4,0))</f>
        <v>Ohio</v>
      </c>
      <c r="K369" s="273"/>
      <c r="L369" s="273"/>
      <c r="M369" s="273"/>
      <c r="N369" s="273"/>
      <c r="O369" s="273"/>
      <c r="P369" s="220"/>
      <c r="Q369" s="274"/>
      <c r="R369" s="217" t="str">
        <f ca="1">IF(ISERROR($V369),"",OFFSET('Smelter Look-up'!$C$4,$V369-4,0)&amp;"")</f>
        <v>QG Refining, LLC</v>
      </c>
      <c r="S369" s="225" t="str">
        <f t="shared" ca="1" si="51"/>
        <v>US</v>
      </c>
      <c r="T369" s="225" t="str">
        <f ca="1">IF(B369="","",IF(ISERROR(MATCH($J369,SorP!$B$1:$B$6230,0)),"",INDIRECT("'SorP'!$A$"&amp;MATCH($J369,SorP!$B$1:$B$6230,0))))</f>
        <v>US-OH</v>
      </c>
      <c r="U369" s="241"/>
      <c r="V369" s="275">
        <f>IF(C369="",NA(),MATCH($B369&amp;$C369,'Smelter Look-up'!$J:$J,0))</f>
        <v>196</v>
      </c>
      <c r="W369" s="276"/>
      <c r="X369" s="276">
        <f t="shared" si="52"/>
        <v>0</v>
      </c>
      <c r="Y369" s="276"/>
      <c r="Z369" s="276"/>
      <c r="AB369" s="278" t="str">
        <f t="shared" si="53"/>
        <v>GoldQG Refining, LLC</v>
      </c>
    </row>
    <row r="370" spans="1:28" s="277" customFormat="1" ht="40.5">
      <c r="A370" s="216"/>
      <c r="B370" s="217" t="s">
        <v>1155</v>
      </c>
      <c r="C370" s="221" t="s">
        <v>840</v>
      </c>
      <c r="D370" s="283" t="s">
        <v>840</v>
      </c>
      <c r="E370" s="217" t="s">
        <v>2576</v>
      </c>
      <c r="F370" s="217" t="s">
        <v>777</v>
      </c>
      <c r="G370" s="217" t="s">
        <v>15513</v>
      </c>
      <c r="H370" s="218">
        <f ca="1">IF(ISERROR($V370),"",OFFSET('Smelter Look-up'!$G$4,$V370-4,0))</f>
        <v>0</v>
      </c>
      <c r="I370" s="219" t="str">
        <f ca="1">IF(ISERROR($V370),"",OFFSET('Smelter Look-up'!$H$4,$V370-4,0))</f>
        <v>Carrollton</v>
      </c>
      <c r="J370" s="219" t="str">
        <f ca="1">IF(ISERROR($V370),"",OFFSET('Smelter Look-up'!$I$4,$V370-4,0))</f>
        <v>Texas</v>
      </c>
      <c r="K370" s="273"/>
      <c r="L370" s="273"/>
      <c r="M370" s="273"/>
      <c r="N370" s="273"/>
      <c r="O370" s="273"/>
      <c r="P370" s="220"/>
      <c r="Q370" s="274"/>
      <c r="R370" s="217" t="str">
        <f ca="1">IF(ISERROR($V370),"",OFFSET('Smelter Look-up'!$C$4,$V370-4,0)&amp;"")</f>
        <v>QuantumClean</v>
      </c>
      <c r="S370" s="225" t="str">
        <f t="shared" ca="1" si="51"/>
        <v>US</v>
      </c>
      <c r="T370" s="225" t="str">
        <f ca="1">IF(B370="","",IF(ISERROR(MATCH($J370,SorP!$B$1:$B$6230,0)),"",INDIRECT("'SorP'!$A$"&amp;MATCH($J370,SorP!$B$1:$B$6230,0))))</f>
        <v>US-TX</v>
      </c>
      <c r="U370" s="241"/>
      <c r="V370" s="275">
        <f>IF(C370="",NA(),MATCH($B370&amp;$C370,'Smelter Look-up'!$J:$J,0))</f>
        <v>336</v>
      </c>
      <c r="W370" s="276"/>
      <c r="X370" s="276">
        <f t="shared" si="52"/>
        <v>0</v>
      </c>
      <c r="Y370" s="276"/>
      <c r="Z370" s="276"/>
      <c r="AB370" s="278" t="str">
        <f t="shared" si="53"/>
        <v>TantalumQuantumClean</v>
      </c>
    </row>
    <row r="371" spans="1:28" s="277" customFormat="1" ht="67.5">
      <c r="A371" s="216"/>
      <c r="B371" s="217" t="s">
        <v>1153</v>
      </c>
      <c r="C371" s="221" t="s">
        <v>2263</v>
      </c>
      <c r="D371" s="283" t="s">
        <v>2263</v>
      </c>
      <c r="E371" s="217" t="s">
        <v>916</v>
      </c>
      <c r="F371" s="217" t="s">
        <v>739</v>
      </c>
      <c r="G371" s="217" t="s">
        <v>15513</v>
      </c>
      <c r="H371" s="218">
        <f ca="1">IF(ISERROR($V371),"",OFFSET('Smelter Look-up'!$G$4,$V371-4,0))</f>
        <v>0</v>
      </c>
      <c r="I371" s="219" t="str">
        <f ca="1">IF(ISERROR($V371),"",OFFSET('Smelter Look-up'!$H$4,$V371-4,0))</f>
        <v>Germiston</v>
      </c>
      <c r="J371" s="219" t="str">
        <f ca="1">IF(ISERROR($V371),"",OFFSET('Smelter Look-up'!$I$4,$V371-4,0))</f>
        <v>Gauteng</v>
      </c>
      <c r="K371" s="273"/>
      <c r="L371" s="273"/>
      <c r="M371" s="273"/>
      <c r="N371" s="273"/>
      <c r="O371" s="273"/>
      <c r="P371" s="220"/>
      <c r="Q371" s="274"/>
      <c r="R371" s="217" t="str">
        <f ca="1">IF(ISERROR($V371),"",OFFSET('Smelter Look-up'!$C$4,$V371-4,0)&amp;"")</f>
        <v>Rand Refinery (Pty) Ltd.</v>
      </c>
      <c r="S371" s="225" t="str">
        <f t="shared" ca="1" si="51"/>
        <v>ZA</v>
      </c>
      <c r="T371" s="225" t="str">
        <f ca="1">IF(B371="","",IF(ISERROR(MATCH($J371,SorP!$B$1:$B$6230,0)),"",INDIRECT("'SorP'!$A$"&amp;MATCH($J371,SorP!$B$1:$B$6230,0))))</f>
        <v>ZA-GT</v>
      </c>
      <c r="U371" s="241"/>
      <c r="V371" s="275">
        <f>IF(C371="",NA(),MATCH($B371&amp;$C371,'Smelter Look-up'!$J:$J,0))</f>
        <v>197</v>
      </c>
      <c r="W371" s="276"/>
      <c r="X371" s="276">
        <f t="shared" si="52"/>
        <v>0</v>
      </c>
      <c r="Y371" s="276"/>
      <c r="Z371" s="276"/>
      <c r="AB371" s="278" t="str">
        <f t="shared" si="53"/>
        <v>GoldRand Refinery (Pty) Ltd.</v>
      </c>
    </row>
    <row r="372" spans="1:28" s="277" customFormat="1" ht="40.5">
      <c r="A372" s="216"/>
      <c r="B372" s="217" t="s">
        <v>1153</v>
      </c>
      <c r="C372" s="221" t="s">
        <v>1898</v>
      </c>
      <c r="D372" s="283" t="s">
        <v>15753</v>
      </c>
      <c r="E372" s="217" t="s">
        <v>1123</v>
      </c>
      <c r="F372" s="217" t="s">
        <v>14250</v>
      </c>
      <c r="G372" s="217" t="s">
        <v>14250</v>
      </c>
      <c r="H372" s="218">
        <f ca="1">IF(ISERROR($V372),"",OFFSET('Smelter Look-up'!$G$4,$V372-4,0))</f>
        <v>0</v>
      </c>
      <c r="I372" s="219">
        <f ca="1">IF(ISERROR($V372),"",OFFSET('Smelter Look-up'!$H$4,$V372-4,0))</f>
        <v>0</v>
      </c>
      <c r="J372" s="219">
        <f ca="1">IF(ISERROR($V372),"",OFFSET('Smelter Look-up'!$I$4,$V372-4,0))</f>
        <v>0</v>
      </c>
      <c r="K372" s="273"/>
      <c r="L372" s="273"/>
      <c r="M372" s="273"/>
      <c r="N372" s="273"/>
      <c r="O372" s="273"/>
      <c r="P372" s="220"/>
      <c r="Q372" s="274"/>
      <c r="R372" s="217" t="str">
        <f ca="1">IF(ISERROR($V372),"",OFFSET('Smelter Look-up'!$C$4,$V372-4,0)&amp;"")</f>
        <v/>
      </c>
      <c r="S372" s="225" t="str">
        <f t="shared" ca="1" si="51"/>
        <v>CN</v>
      </c>
      <c r="T372" s="225" t="str">
        <f ca="1">IF(B372="","",IF(ISERROR(MATCH($J372,SorP!$B$1:$B$6230,0)),"",INDIRECT("'SorP'!$A$"&amp;MATCH($J372,SorP!$B$1:$B$6230,0))))</f>
        <v/>
      </c>
      <c r="U372" s="241"/>
      <c r="V372" s="275">
        <f>IF(C372="",NA(),MATCH($B372&amp;$C372,'Smelter Look-up'!$J:$J,0))</f>
        <v>293</v>
      </c>
      <c r="W372" s="276"/>
      <c r="X372" s="276">
        <f t="shared" si="52"/>
        <v>0</v>
      </c>
      <c r="Y372" s="276"/>
      <c r="Z372" s="276"/>
      <c r="AB372" s="278" t="str">
        <f t="shared" si="53"/>
        <v>GoldSmelter not listed</v>
      </c>
    </row>
    <row r="373" spans="1:28" s="277" customFormat="1" ht="67.5">
      <c r="A373" s="216"/>
      <c r="B373" s="217" t="s">
        <v>1153</v>
      </c>
      <c r="C373" s="221" t="s">
        <v>13257</v>
      </c>
      <c r="D373" s="283" t="s">
        <v>13257</v>
      </c>
      <c r="E373" s="217" t="s">
        <v>1123</v>
      </c>
      <c r="F373" s="217" t="s">
        <v>691</v>
      </c>
      <c r="G373" s="217" t="s">
        <v>15513</v>
      </c>
      <c r="H373" s="218">
        <f ca="1">IF(ISERROR($V373),"",OFFSET('Smelter Look-up'!$G$4,$V373-4,0))</f>
        <v>0</v>
      </c>
      <c r="I373" s="219" t="str">
        <f ca="1">IF(ISERROR($V373),"",OFFSET('Smelter Look-up'!$H$4,$V373-4,0))</f>
        <v>Lanzhou</v>
      </c>
      <c r="J373" s="219" t="str">
        <f ca="1">IF(ISERROR($V373),"",OFFSET('Smelter Look-up'!$I$4,$V373-4,0))</f>
        <v>Gansu Sheng</v>
      </c>
      <c r="K373" s="273"/>
      <c r="L373" s="273"/>
      <c r="M373" s="273"/>
      <c r="N373" s="273"/>
      <c r="O373" s="273"/>
      <c r="P373" s="220"/>
      <c r="Q373" s="274"/>
      <c r="R373" s="217" t="str">
        <f ca="1">IF(ISERROR($V373),"",OFFSET('Smelter Look-up'!$C$4,$V373-4,0)&amp;"")</f>
        <v>Refinery of Seemine Gold Co., Ltd.</v>
      </c>
      <c r="S373" s="225" t="str">
        <f t="shared" ca="1" si="51"/>
        <v>CN</v>
      </c>
      <c r="T373" s="225" t="str">
        <f ca="1">IF(B373="","",IF(ISERROR(MATCH($J373,SorP!$B$1:$B$6230,0)),"",INDIRECT("'SorP'!$A$"&amp;MATCH($J373,SorP!$B$1:$B$6230,0))))</f>
        <v>CN-GS</v>
      </c>
      <c r="U373" s="241"/>
      <c r="V373" s="275">
        <f>IF(C373="",NA(),MATCH($B373&amp;$C373,'Smelter Look-up'!$J:$J,0))</f>
        <v>199</v>
      </c>
      <c r="W373" s="276"/>
      <c r="X373" s="276">
        <f t="shared" si="52"/>
        <v>0</v>
      </c>
      <c r="Y373" s="276"/>
      <c r="Z373" s="276"/>
      <c r="AB373" s="278" t="str">
        <f t="shared" si="53"/>
        <v>GoldRefinery of Seemine Gold Co., Ltd.</v>
      </c>
    </row>
    <row r="374" spans="1:28" s="277" customFormat="1" ht="54">
      <c r="A374" s="216"/>
      <c r="B374" s="217" t="s">
        <v>1153</v>
      </c>
      <c r="C374" s="221" t="s">
        <v>14140</v>
      </c>
      <c r="D374" s="283" t="s">
        <v>14140</v>
      </c>
      <c r="E374" s="217" t="s">
        <v>1139</v>
      </c>
      <c r="F374" s="217" t="s">
        <v>2442</v>
      </c>
      <c r="G374" s="217" t="s">
        <v>15513</v>
      </c>
      <c r="H374" s="218">
        <f ca="1">IF(ISERROR($V374),"",OFFSET('Smelter Look-up'!$G$4,$V374-4,0))</f>
        <v>0</v>
      </c>
      <c r="I374" s="219" t="str">
        <f ca="1">IF(ISERROR($V374),"",OFFSET('Smelter Look-up'!$H$4,$V374-4,0))</f>
        <v>Moerdijk</v>
      </c>
      <c r="J374" s="219" t="str">
        <f ca="1">IF(ISERROR($V374),"",OFFSET('Smelter Look-up'!$I$4,$V374-4,0))</f>
        <v>Noord-Brabant</v>
      </c>
      <c r="K374" s="273"/>
      <c r="L374" s="273"/>
      <c r="M374" s="273"/>
      <c r="N374" s="273"/>
      <c r="O374" s="273"/>
      <c r="P374" s="220"/>
      <c r="Q374" s="274"/>
      <c r="R374" s="217" t="str">
        <f ca="1">IF(ISERROR($V374),"",OFFSET('Smelter Look-up'!$C$4,$V374-4,0)&amp;"")</f>
        <v>REMONDIS PMR B.V.</v>
      </c>
      <c r="S374" s="225" t="str">
        <f t="shared" ca="1" si="51"/>
        <v>NL</v>
      </c>
      <c r="T374" s="225" t="str">
        <f ca="1">IF(B374="","",IF(ISERROR(MATCH($J374,SorP!$B$1:$B$6230,0)),"",INDIRECT("'SorP'!$A$"&amp;MATCH($J374,SorP!$B$1:$B$6230,0))))</f>
        <v>NL-NB</v>
      </c>
      <c r="U374" s="241"/>
      <c r="V374" s="275">
        <f>IF(C374="",NA(),MATCH($B374&amp;$C374,'Smelter Look-up'!$J:$J,0))</f>
        <v>201</v>
      </c>
      <c r="W374" s="276"/>
      <c r="X374" s="276">
        <f t="shared" si="52"/>
        <v>0</v>
      </c>
      <c r="Y374" s="276"/>
      <c r="Z374" s="276"/>
      <c r="AB374" s="278" t="str">
        <f t="shared" si="53"/>
        <v>GoldREMONDIS PMR B.V.</v>
      </c>
    </row>
    <row r="375" spans="1:28" s="277" customFormat="1" ht="40.5">
      <c r="A375" s="216"/>
      <c r="B375" s="217" t="s">
        <v>1153</v>
      </c>
      <c r="C375" s="221" t="s">
        <v>1898</v>
      </c>
      <c r="D375" s="283" t="s">
        <v>15754</v>
      </c>
      <c r="E375" s="217" t="s">
        <v>2576</v>
      </c>
      <c r="F375" s="217" t="s">
        <v>15755</v>
      </c>
      <c r="G375" s="217" t="s">
        <v>15513</v>
      </c>
      <c r="H375" s="218">
        <f ca="1">IF(ISERROR($V375),"",OFFSET('Smelter Look-up'!$G$4,$V375-4,0))</f>
        <v>0</v>
      </c>
      <c r="I375" s="219">
        <f ca="1">IF(ISERROR($V375),"",OFFSET('Smelter Look-up'!$H$4,$V375-4,0))</f>
        <v>0</v>
      </c>
      <c r="J375" s="219">
        <f ca="1">IF(ISERROR($V375),"",OFFSET('Smelter Look-up'!$I$4,$V375-4,0))</f>
        <v>0</v>
      </c>
      <c r="K375" s="273"/>
      <c r="L375" s="273"/>
      <c r="M375" s="273"/>
      <c r="N375" s="273"/>
      <c r="O375" s="273"/>
      <c r="P375" s="220"/>
      <c r="Q375" s="274"/>
      <c r="R375" s="217" t="str">
        <f ca="1">IF(ISERROR($V375),"",OFFSET('Smelter Look-up'!$C$4,$V375-4,0)&amp;"")</f>
        <v/>
      </c>
      <c r="S375" s="225" t="str">
        <f t="shared" ca="1" si="51"/>
        <v>US</v>
      </c>
      <c r="T375" s="225" t="str">
        <f ca="1">IF(B375="","",IF(ISERROR(MATCH($J375,SorP!$B$1:$B$6230,0)),"",INDIRECT("'SorP'!$A$"&amp;MATCH($J375,SorP!$B$1:$B$6230,0))))</f>
        <v/>
      </c>
      <c r="U375" s="241"/>
      <c r="V375" s="275">
        <f>IF(C375="",NA(),MATCH($B375&amp;$C375,'Smelter Look-up'!$J:$J,0))</f>
        <v>293</v>
      </c>
      <c r="W375" s="276"/>
      <c r="X375" s="276">
        <f t="shared" si="52"/>
        <v>0</v>
      </c>
      <c r="Y375" s="276"/>
      <c r="Z375" s="276"/>
      <c r="AB375" s="278" t="str">
        <f t="shared" si="53"/>
        <v>GoldSmelter not listed</v>
      </c>
    </row>
    <row r="376" spans="1:28" s="277" customFormat="1" ht="81">
      <c r="A376" s="216"/>
      <c r="B376" s="217" t="s">
        <v>1155</v>
      </c>
      <c r="C376" s="221" t="s">
        <v>12761</v>
      </c>
      <c r="D376" s="283" t="s">
        <v>12761</v>
      </c>
      <c r="E376" s="217" t="s">
        <v>1119</v>
      </c>
      <c r="F376" s="217" t="s">
        <v>1795</v>
      </c>
      <c r="G376" s="217" t="s">
        <v>15513</v>
      </c>
      <c r="H376" s="218">
        <f ca="1">IF(ISERROR($V376),"",OFFSET('Smelter Look-up'!$G$4,$V376-4,0))</f>
        <v>0</v>
      </c>
      <c r="I376" s="219" t="str">
        <f ca="1">IF(ISERROR($V376),"",OFFSET('Smelter Look-up'!$H$4,$V376-4,0))</f>
        <v>São João del Rei</v>
      </c>
      <c r="J376" s="219" t="str">
        <f ca="1">IF(ISERROR($V376),"",OFFSET('Smelter Look-up'!$I$4,$V376-4,0))</f>
        <v>Minas gerais</v>
      </c>
      <c r="K376" s="273"/>
      <c r="L376" s="273"/>
      <c r="M376" s="273"/>
      <c r="N376" s="273"/>
      <c r="O376" s="273"/>
      <c r="P376" s="220"/>
      <c r="Q376" s="274"/>
      <c r="R376" s="217" t="str">
        <f ca="1">IF(ISERROR($V376),"",OFFSET('Smelter Look-up'!$C$4,$V376-4,0)&amp;"")</f>
        <v>Resind Industria e Comercio Ltda.</v>
      </c>
      <c r="S376" s="225" t="str">
        <f t="shared" ca="1" si="51"/>
        <v>BR</v>
      </c>
      <c r="T376" s="225" t="str">
        <f ca="1">IF(B376="","",IF(ISERROR(MATCH($J376,SorP!$B$1:$B$6230,0)),"",INDIRECT("'SorP'!$A$"&amp;MATCH($J376,SorP!$B$1:$B$6230,0))))</f>
        <v>BR-MG</v>
      </c>
      <c r="U376" s="241"/>
      <c r="V376" s="275">
        <f>IF(C376="",NA(),MATCH($B376&amp;$C376,'Smelter Look-up'!$J:$J,0))</f>
        <v>338</v>
      </c>
      <c r="W376" s="276"/>
      <c r="X376" s="276">
        <f t="shared" si="52"/>
        <v>0</v>
      </c>
      <c r="Y376" s="276"/>
      <c r="Z376" s="276"/>
      <c r="AB376" s="278" t="str">
        <f t="shared" si="53"/>
        <v>TantalumResind Industria e Comercio Ltda.</v>
      </c>
    </row>
    <row r="377" spans="1:28" s="277" customFormat="1" ht="81">
      <c r="A377" s="216"/>
      <c r="B377" s="217" t="s">
        <v>1154</v>
      </c>
      <c r="C377" s="221" t="s">
        <v>12761</v>
      </c>
      <c r="D377" s="283" t="s">
        <v>12761</v>
      </c>
      <c r="E377" s="217" t="s">
        <v>1119</v>
      </c>
      <c r="F377" s="217" t="s">
        <v>1855</v>
      </c>
      <c r="G377" s="217" t="s">
        <v>15513</v>
      </c>
      <c r="H377" s="218">
        <f ca="1">IF(ISERROR($V377),"",OFFSET('Smelter Look-up'!$G$4,$V377-4,0))</f>
        <v>0</v>
      </c>
      <c r="I377" s="219" t="str">
        <f ca="1">IF(ISERROR($V377),"",OFFSET('Smelter Look-up'!$H$4,$V377-4,0))</f>
        <v>São João del Rei</v>
      </c>
      <c r="J377" s="219" t="str">
        <f ca="1">IF(ISERROR($V377),"",OFFSET('Smelter Look-up'!$I$4,$V377-4,0))</f>
        <v>Minas gerais</v>
      </c>
      <c r="K377" s="273"/>
      <c r="L377" s="273"/>
      <c r="M377" s="273"/>
      <c r="N377" s="273"/>
      <c r="O377" s="273"/>
      <c r="P377" s="220"/>
      <c r="Q377" s="274"/>
      <c r="R377" s="217" t="str">
        <f ca="1">IF(ISERROR($V377),"",OFFSET('Smelter Look-up'!$C$4,$V377-4,0)&amp;"")</f>
        <v>Resind Industria e Comercio Ltda.</v>
      </c>
      <c r="S377" s="225" t="str">
        <f t="shared" ca="1" si="51"/>
        <v>BR</v>
      </c>
      <c r="T377" s="225" t="str">
        <f ca="1">IF(B377="","",IF(ISERROR(MATCH($J377,SorP!$B$1:$B$6230,0)),"",INDIRECT("'SorP'!$A$"&amp;MATCH($J377,SorP!$B$1:$B$6230,0))))</f>
        <v>BR-MG</v>
      </c>
      <c r="U377" s="241"/>
      <c r="V377" s="275">
        <f>IF(C377="",NA(),MATCH($B377&amp;$C377,'Smelter Look-up'!$J:$J,0))</f>
        <v>448</v>
      </c>
      <c r="W377" s="276"/>
      <c r="X377" s="276">
        <f t="shared" si="52"/>
        <v>0</v>
      </c>
      <c r="Y377" s="276"/>
      <c r="Z377" s="276"/>
      <c r="AB377" s="278" t="str">
        <f t="shared" si="53"/>
        <v>TinResind Industria e Comercio Ltda.</v>
      </c>
    </row>
    <row r="378" spans="1:28" s="277" customFormat="1" ht="54">
      <c r="A378" s="216"/>
      <c r="B378" s="217" t="s">
        <v>1155</v>
      </c>
      <c r="C378" s="221" t="s">
        <v>1898</v>
      </c>
      <c r="D378" s="283" t="s">
        <v>15756</v>
      </c>
      <c r="E378" s="217" t="s">
        <v>1123</v>
      </c>
      <c r="F378" s="217" t="s">
        <v>778</v>
      </c>
      <c r="G378" s="217" t="s">
        <v>15513</v>
      </c>
      <c r="H378" s="218">
        <f ca="1">IF(ISERROR($V378),"",OFFSET('Smelter Look-up'!$G$4,$V378-4,0))</f>
        <v>0</v>
      </c>
      <c r="I378" s="219">
        <f ca="1">IF(ISERROR($V378),"",OFFSET('Smelter Look-up'!$H$4,$V378-4,0))</f>
        <v>0</v>
      </c>
      <c r="J378" s="219">
        <f ca="1">IF(ISERROR($V378),"",OFFSET('Smelter Look-up'!$I$4,$V378-4,0))</f>
        <v>0</v>
      </c>
      <c r="K378" s="273"/>
      <c r="L378" s="273"/>
      <c r="M378" s="273"/>
      <c r="N378" s="273"/>
      <c r="O378" s="273"/>
      <c r="P378" s="220"/>
      <c r="Q378" s="274"/>
      <c r="R378" s="217" t="str">
        <f ca="1">IF(ISERROR($V378),"",OFFSET('Smelter Look-up'!$C$4,$V378-4,0)&amp;"")</f>
        <v/>
      </c>
      <c r="S378" s="225" t="str">
        <f t="shared" ca="1" si="51"/>
        <v>CN</v>
      </c>
      <c r="T378" s="225" t="str">
        <f ca="1">IF(B378="","",IF(ISERROR(MATCH($J378,SorP!$B$1:$B$6230,0)),"",INDIRECT("'SorP'!$A$"&amp;MATCH($J378,SorP!$B$1:$B$6230,0))))</f>
        <v/>
      </c>
      <c r="U378" s="241"/>
      <c r="V378" s="275">
        <f>IF(C378="",NA(),MATCH($B378&amp;$C378,'Smelter Look-up'!$J:$J,0))</f>
        <v>353</v>
      </c>
      <c r="W378" s="276"/>
      <c r="X378" s="276">
        <f t="shared" si="52"/>
        <v>0</v>
      </c>
      <c r="Y378" s="276"/>
      <c r="Z378" s="276"/>
      <c r="AB378" s="278" t="str">
        <f t="shared" si="53"/>
        <v>TantalumSmelter not listed</v>
      </c>
    </row>
    <row r="379" spans="1:28" s="277" customFormat="1" ht="40.5">
      <c r="A379" s="216"/>
      <c r="B379" s="217" t="s">
        <v>1153</v>
      </c>
      <c r="C379" s="221" t="s">
        <v>1898</v>
      </c>
      <c r="D379" s="283" t="s">
        <v>15757</v>
      </c>
      <c r="E379" s="217" t="s">
        <v>1116</v>
      </c>
      <c r="F379" s="217" t="s">
        <v>14250</v>
      </c>
      <c r="G379" s="217" t="s">
        <v>14250</v>
      </c>
      <c r="H379" s="218">
        <f ca="1">IF(ISERROR($V379),"",OFFSET('Smelter Look-up'!$G$4,$V379-4,0))</f>
        <v>0</v>
      </c>
      <c r="I379" s="219">
        <f ca="1">IF(ISERROR($V379),"",OFFSET('Smelter Look-up'!$H$4,$V379-4,0))</f>
        <v>0</v>
      </c>
      <c r="J379" s="219">
        <f ca="1">IF(ISERROR($V379),"",OFFSET('Smelter Look-up'!$I$4,$V379-4,0))</f>
        <v>0</v>
      </c>
      <c r="K379" s="273"/>
      <c r="L379" s="273"/>
      <c r="M379" s="273"/>
      <c r="N379" s="273"/>
      <c r="O379" s="273"/>
      <c r="P379" s="220"/>
      <c r="Q379" s="274"/>
      <c r="R379" s="217" t="str">
        <f ca="1">IF(ISERROR($V379),"",OFFSET('Smelter Look-up'!$C$4,$V379-4,0)&amp;"")</f>
        <v/>
      </c>
      <c r="S379" s="225" t="str">
        <f t="shared" ca="1" si="51"/>
        <v>AU</v>
      </c>
      <c r="T379" s="225" t="str">
        <f ca="1">IF(B379="","",IF(ISERROR(MATCH($J379,SorP!$B$1:$B$6230,0)),"",INDIRECT("'SorP'!$A$"&amp;MATCH($J379,SorP!$B$1:$B$6230,0))))</f>
        <v/>
      </c>
      <c r="U379" s="241"/>
      <c r="V379" s="275">
        <f>IF(C379="",NA(),MATCH($B379&amp;$C379,'Smelter Look-up'!$J:$J,0))</f>
        <v>293</v>
      </c>
      <c r="W379" s="276"/>
      <c r="X379" s="276">
        <f t="shared" si="52"/>
        <v>0</v>
      </c>
      <c r="Y379" s="276"/>
      <c r="Z379" s="276"/>
      <c r="AB379" s="278" t="str">
        <f t="shared" si="53"/>
        <v>GoldSmelter not listed</v>
      </c>
    </row>
    <row r="380" spans="1:28" s="277" customFormat="1" ht="54">
      <c r="A380" s="216"/>
      <c r="B380" s="217" t="s">
        <v>1153</v>
      </c>
      <c r="C380" s="221" t="s">
        <v>936</v>
      </c>
      <c r="D380" s="283" t="s">
        <v>936</v>
      </c>
      <c r="E380" s="217" t="s">
        <v>1120</v>
      </c>
      <c r="F380" s="217" t="s">
        <v>740</v>
      </c>
      <c r="G380" s="217" t="s">
        <v>15513</v>
      </c>
      <c r="H380" s="218">
        <f ca="1">IF(ISERROR($V380),"",OFFSET('Smelter Look-up'!$G$4,$V380-4,0))</f>
        <v>0</v>
      </c>
      <c r="I380" s="219" t="str">
        <f ca="1">IF(ISERROR($V380),"",OFFSET('Smelter Look-up'!$H$4,$V380-4,0))</f>
        <v>Ottawa</v>
      </c>
      <c r="J380" s="219" t="str">
        <f ca="1">IF(ISERROR($V380),"",OFFSET('Smelter Look-up'!$I$4,$V380-4,0))</f>
        <v>Ontario</v>
      </c>
      <c r="K380" s="273"/>
      <c r="L380" s="273"/>
      <c r="M380" s="273"/>
      <c r="N380" s="273"/>
      <c r="O380" s="273"/>
      <c r="P380" s="220"/>
      <c r="Q380" s="274"/>
      <c r="R380" s="217" t="str">
        <f ca="1">IF(ISERROR($V380),"",OFFSET('Smelter Look-up'!$C$4,$V380-4,0)&amp;"")</f>
        <v>Royal Canadian Mint</v>
      </c>
      <c r="S380" s="225" t="str">
        <f t="shared" ca="1" si="51"/>
        <v>CA</v>
      </c>
      <c r="T380" s="225" t="str">
        <f ca="1">IF(B380="","",IF(ISERROR(MATCH($J380,SorP!$B$1:$B$6230,0)),"",INDIRECT("'SorP'!$A$"&amp;MATCH($J380,SorP!$B$1:$B$6230,0))))</f>
        <v>CA-ON</v>
      </c>
      <c r="U380" s="241"/>
      <c r="V380" s="275">
        <f>IF(C380="",NA(),MATCH($B380&amp;$C380,'Smelter Look-up'!$J:$J,0))</f>
        <v>202</v>
      </c>
      <c r="W380" s="276"/>
      <c r="X380" s="276">
        <f t="shared" si="52"/>
        <v>0</v>
      </c>
      <c r="Y380" s="276"/>
      <c r="Z380" s="276"/>
      <c r="AB380" s="278" t="str">
        <f t="shared" si="53"/>
        <v>GoldRoyal Canadian Mint</v>
      </c>
    </row>
    <row r="381" spans="1:28" s="277" customFormat="1" ht="27">
      <c r="A381" s="216"/>
      <c r="B381" s="217" t="s">
        <v>1154</v>
      </c>
      <c r="C381" s="221" t="s">
        <v>803</v>
      </c>
      <c r="D381" s="283" t="s">
        <v>803</v>
      </c>
      <c r="E381" s="217" t="s">
        <v>2575</v>
      </c>
      <c r="F381" s="217" t="s">
        <v>804</v>
      </c>
      <c r="G381" s="217" t="s">
        <v>15513</v>
      </c>
      <c r="H381" s="218">
        <f ca="1">IF(ISERROR($V381),"",OFFSET('Smelter Look-up'!$G$4,$V381-4,0))</f>
        <v>0</v>
      </c>
      <c r="I381" s="219" t="str">
        <f ca="1">IF(ISERROR($V381),"",OFFSET('Smelter Look-up'!$H$4,$V381-4,0))</f>
        <v>Longtan Shiang Taoyuan</v>
      </c>
      <c r="J381" s="219" t="str">
        <f ca="1">IF(ISERROR($V381),"",OFFSET('Smelter Look-up'!$I$4,$V381-4,0))</f>
        <v>Taoyuan</v>
      </c>
      <c r="K381" s="273"/>
      <c r="L381" s="273"/>
      <c r="M381" s="273"/>
      <c r="N381" s="273"/>
      <c r="O381" s="273"/>
      <c r="P381" s="220"/>
      <c r="Q381" s="274"/>
      <c r="R381" s="217" t="str">
        <f ca="1">IF(ISERROR($V381),"",OFFSET('Smelter Look-up'!$C$4,$V381-4,0)&amp;"")</f>
        <v>Rui Da Hung</v>
      </c>
      <c r="S381" s="225" t="str">
        <f t="shared" ca="1" si="51"/>
        <v>TW</v>
      </c>
      <c r="T381" s="225" t="str">
        <f ca="1">IF(B381="","",IF(ISERROR(MATCH($J381,SorP!$B$1:$B$6230,0)),"",INDIRECT("'SorP'!$A$"&amp;MATCH($J381,SorP!$B$1:$B$6230,0))))</f>
        <v>TW-TAO</v>
      </c>
      <c r="U381" s="241"/>
      <c r="V381" s="275">
        <f>IF(C381="",NA(),MATCH($B381&amp;$C381,'Smelter Look-up'!$J:$J,0))</f>
        <v>450</v>
      </c>
      <c r="W381" s="276"/>
      <c r="X381" s="276">
        <f t="shared" si="52"/>
        <v>0</v>
      </c>
      <c r="Y381" s="276"/>
      <c r="Z381" s="276"/>
      <c r="AB381" s="278" t="str">
        <f t="shared" si="53"/>
        <v>TinRui Da Hung</v>
      </c>
    </row>
    <row r="382" spans="1:28" s="277" customFormat="1" ht="27">
      <c r="A382" s="216"/>
      <c r="B382" s="217" t="s">
        <v>1153</v>
      </c>
      <c r="C382" s="221" t="s">
        <v>2370</v>
      </c>
      <c r="D382" s="283" t="s">
        <v>2370</v>
      </c>
      <c r="E382" s="217" t="s">
        <v>1127</v>
      </c>
      <c r="F382" s="217" t="s">
        <v>2371</v>
      </c>
      <c r="G382" s="217" t="s">
        <v>15513</v>
      </c>
      <c r="H382" s="218">
        <f ca="1">IF(ISERROR($V382),"",OFFSET('Smelter Look-up'!$G$4,$V382-4,0))</f>
        <v>0</v>
      </c>
      <c r="I382" s="219" t="str">
        <f ca="1">IF(ISERROR($V382),"",OFFSET('Smelter Look-up'!$H$4,$V382-4,0))</f>
        <v>Paris</v>
      </c>
      <c r="J382" s="219" t="str">
        <f ca="1">IF(ISERROR($V382),"",OFFSET('Smelter Look-up'!$I$4,$V382-4,0))</f>
        <v>Île-de-France</v>
      </c>
      <c r="K382" s="273"/>
      <c r="L382" s="273"/>
      <c r="M382" s="273"/>
      <c r="N382" s="273"/>
      <c r="O382" s="273"/>
      <c r="P382" s="220"/>
      <c r="Q382" s="274"/>
      <c r="R382" s="217" t="str">
        <f ca="1">IF(ISERROR($V382),"",OFFSET('Smelter Look-up'!$C$4,$V382-4,0)&amp;"")</f>
        <v>SAAMP</v>
      </c>
      <c r="S382" s="225" t="str">
        <f t="shared" ca="1" si="51"/>
        <v>FR</v>
      </c>
      <c r="T382" s="225" t="str">
        <f ca="1">IF(B382="","",IF(ISERROR(MATCH($J382,SorP!$B$1:$B$6230,0)),"",INDIRECT("'SorP'!$A$"&amp;MATCH($J382,SorP!$B$1:$B$6230,0))))</f>
        <v>FR-IDF</v>
      </c>
      <c r="U382" s="241"/>
      <c r="V382" s="275">
        <f>IF(C382="",NA(),MATCH($B382&amp;$C382,'Smelter Look-up'!$J:$J,0))</f>
        <v>203</v>
      </c>
      <c r="W382" s="276"/>
      <c r="X382" s="276">
        <f t="shared" si="52"/>
        <v>0</v>
      </c>
      <c r="Y382" s="276"/>
      <c r="Z382" s="276"/>
      <c r="AB382" s="278" t="str">
        <f t="shared" si="53"/>
        <v>GoldSAAMP</v>
      </c>
    </row>
    <row r="383" spans="1:28" s="277" customFormat="1" ht="40.5">
      <c r="A383" s="216"/>
      <c r="B383" s="217" t="s">
        <v>1153</v>
      </c>
      <c r="C383" s="221" t="s">
        <v>1188</v>
      </c>
      <c r="D383" s="283" t="s">
        <v>1188</v>
      </c>
      <c r="E383" s="217" t="s">
        <v>2576</v>
      </c>
      <c r="F383" s="217" t="s">
        <v>741</v>
      </c>
      <c r="G383" s="217" t="s">
        <v>15513</v>
      </c>
      <c r="H383" s="218">
        <f ca="1">IF(ISERROR($V383),"",OFFSET('Smelter Look-up'!$G$4,$V383-4,0))</f>
        <v>0</v>
      </c>
      <c r="I383" s="219" t="str">
        <f ca="1">IF(ISERROR($V383),"",OFFSET('Smelter Look-up'!$H$4,$V383-4,0))</f>
        <v>Williston</v>
      </c>
      <c r="J383" s="219" t="str">
        <f ca="1">IF(ISERROR($V383),"",OFFSET('Smelter Look-up'!$I$4,$V383-4,0))</f>
        <v>North Dakota</v>
      </c>
      <c r="K383" s="273"/>
      <c r="L383" s="273"/>
      <c r="M383" s="273"/>
      <c r="N383" s="273"/>
      <c r="O383" s="273"/>
      <c r="P383" s="220"/>
      <c r="Q383" s="274"/>
      <c r="R383" s="217" t="str">
        <f ca="1">IF(ISERROR($V383),"",OFFSET('Smelter Look-up'!$C$4,$V383-4,0)&amp;"")</f>
        <v>Sabin Metal Corp.</v>
      </c>
      <c r="S383" s="225" t="str">
        <f t="shared" ca="1" si="51"/>
        <v>US</v>
      </c>
      <c r="T383" s="225" t="str">
        <f ca="1">IF(B383="","",IF(ISERROR(MATCH($J383,SorP!$B$1:$B$6230,0)),"",INDIRECT("'SorP'!$A$"&amp;MATCH($J383,SorP!$B$1:$B$6230,0))))</f>
        <v>US-ND</v>
      </c>
      <c r="U383" s="241"/>
      <c r="V383" s="275">
        <f>IF(C383="",NA(),MATCH($B383&amp;$C383,'Smelter Look-up'!$J:$J,0))</f>
        <v>204</v>
      </c>
      <c r="W383" s="276"/>
      <c r="X383" s="276">
        <f t="shared" si="52"/>
        <v>0</v>
      </c>
      <c r="Y383" s="276"/>
      <c r="Z383" s="276"/>
      <c r="AB383" s="278" t="str">
        <f t="shared" si="53"/>
        <v>GoldSabin Metal Corp.</v>
      </c>
    </row>
    <row r="384" spans="1:28" s="277" customFormat="1" ht="40.5">
      <c r="A384" s="216"/>
      <c r="B384" s="217" t="s">
        <v>1153</v>
      </c>
      <c r="C384" s="221" t="s">
        <v>2665</v>
      </c>
      <c r="D384" s="283" t="s">
        <v>2665</v>
      </c>
      <c r="E384" s="217" t="s">
        <v>1130</v>
      </c>
      <c r="F384" s="217" t="s">
        <v>2666</v>
      </c>
      <c r="G384" s="217" t="s">
        <v>15513</v>
      </c>
      <c r="H384" s="218">
        <f ca="1">IF(ISERROR($V384),"",OFFSET('Smelter Look-up'!$G$4,$V384-4,0))</f>
        <v>0</v>
      </c>
      <c r="I384" s="219" t="str">
        <f ca="1">IF(ISERROR($V384),"",OFFSET('Smelter Look-up'!$H$4,$V384-4,0))</f>
        <v>Arezzo</v>
      </c>
      <c r="J384" s="219" t="str">
        <f ca="1">IF(ISERROR($V384),"",OFFSET('Smelter Look-up'!$I$4,$V384-4,0))</f>
        <v>Toscana</v>
      </c>
      <c r="K384" s="273"/>
      <c r="L384" s="273"/>
      <c r="M384" s="273"/>
      <c r="N384" s="273"/>
      <c r="O384" s="273"/>
      <c r="P384" s="220"/>
      <c r="Q384" s="274"/>
      <c r="R384" s="217" t="str">
        <f ca="1">IF(ISERROR($V384),"",OFFSET('Smelter Look-up'!$C$4,$V384-4,0)&amp;"")</f>
        <v>Safimet S.p.A</v>
      </c>
      <c r="S384" s="225" t="str">
        <f t="shared" ca="1" si="51"/>
        <v>IT</v>
      </c>
      <c r="T384" s="225" t="str">
        <f ca="1">IF(B384="","",IF(ISERROR(MATCH($J384,SorP!$B$1:$B$6230,0)),"",INDIRECT("'SorP'!$A$"&amp;MATCH($J384,SorP!$B$1:$B$6230,0))))</f>
        <v>IT-52</v>
      </c>
      <c r="U384" s="241"/>
      <c r="V384" s="275">
        <f>IF(C384="",NA(),MATCH($B384&amp;$C384,'Smelter Look-up'!$J:$J,0))</f>
        <v>205</v>
      </c>
      <c r="W384" s="276"/>
      <c r="X384" s="276">
        <f t="shared" si="52"/>
        <v>0</v>
      </c>
      <c r="Y384" s="276"/>
      <c r="Z384" s="276"/>
      <c r="AB384" s="278" t="str">
        <f t="shared" si="53"/>
        <v>GoldSafimet S.p.A</v>
      </c>
    </row>
    <row r="385" spans="1:28" s="277" customFormat="1" ht="27">
      <c r="A385" s="216"/>
      <c r="B385" s="217" t="s">
        <v>1153</v>
      </c>
      <c r="C385" s="221" t="s">
        <v>2443</v>
      </c>
      <c r="D385" s="283" t="s">
        <v>2443</v>
      </c>
      <c r="E385" s="217" t="s">
        <v>13842</v>
      </c>
      <c r="F385" s="217" t="s">
        <v>2444</v>
      </c>
      <c r="G385" s="217" t="s">
        <v>13577</v>
      </c>
      <c r="H385" s="218">
        <f ca="1">IF(ISERROR($V385),"",OFFSET('Smelter Look-up'!$G$4,$V385-4,0))</f>
        <v>0</v>
      </c>
      <c r="I385" s="219" t="str">
        <f ca="1">IF(ISERROR($V385),"",OFFSET('Smelter Look-up'!$H$4,$V385-4,0))</f>
        <v>Vestec</v>
      </c>
      <c r="J385" s="219" t="str">
        <f ca="1">IF(ISERROR($V385),"",OFFSET('Smelter Look-up'!$I$4,$V385-4,0))</f>
        <v>Praha-západ</v>
      </c>
      <c r="K385" s="273"/>
      <c r="L385" s="273"/>
      <c r="M385" s="273"/>
      <c r="N385" s="273"/>
      <c r="O385" s="273"/>
      <c r="P385" s="220"/>
      <c r="Q385" s="274"/>
      <c r="R385" s="217" t="str">
        <f ca="1">IF(ISERROR($V385),"",OFFSET('Smelter Look-up'!$C$4,$V385-4,0)&amp;"")</f>
        <v>SAFINA A.S.</v>
      </c>
      <c r="S385" s="225" t="str">
        <f t="shared" ca="1" si="51"/>
        <v>CZ</v>
      </c>
      <c r="T385" s="225" t="str">
        <f ca="1">IF(B385="","",IF(ISERROR(MATCH($J385,SorP!$B$1:$B$6230,0)),"",INDIRECT("'SorP'!$A$"&amp;MATCH($J385,SorP!$B$1:$B$6230,0))))</f>
        <v>CZ-20A</v>
      </c>
      <c r="U385" s="241"/>
      <c r="V385" s="275">
        <f>IF(C385="",NA(),MATCH($B385&amp;$C385,'Smelter Look-up'!$J:$J,0))</f>
        <v>206</v>
      </c>
      <c r="W385" s="276"/>
      <c r="X385" s="276">
        <f t="shared" si="52"/>
        <v>0</v>
      </c>
      <c r="Y385" s="276"/>
      <c r="Z385" s="276"/>
      <c r="AB385" s="278" t="str">
        <f t="shared" si="53"/>
        <v>GoldSAFINA A.S.</v>
      </c>
    </row>
    <row r="386" spans="1:28" s="277" customFormat="1" ht="27">
      <c r="A386" s="216"/>
      <c r="B386" s="217" t="s">
        <v>1153</v>
      </c>
      <c r="C386" s="221" t="s">
        <v>2446</v>
      </c>
      <c r="D386" s="283" t="s">
        <v>2446</v>
      </c>
      <c r="E386" s="217" t="s">
        <v>1129</v>
      </c>
      <c r="F386" s="217" t="s">
        <v>2447</v>
      </c>
      <c r="G386" s="217" t="s">
        <v>15513</v>
      </c>
      <c r="H386" s="218">
        <f ca="1">IF(ISERROR($V386),"",OFFSET('Smelter Look-up'!$G$4,$V386-4,0))</f>
        <v>0</v>
      </c>
      <c r="I386" s="219" t="str">
        <f ca="1">IF(ISERROR($V386),"",OFFSET('Smelter Look-up'!$H$4,$V386-4,0))</f>
        <v>Parwanoo</v>
      </c>
      <c r="J386" s="219" t="str">
        <f ca="1">IF(ISERROR($V386),"",OFFSET('Smelter Look-up'!$I$4,$V386-4,0))</f>
        <v>Himachal Pradesh</v>
      </c>
      <c r="K386" s="273"/>
      <c r="L386" s="273"/>
      <c r="M386" s="273"/>
      <c r="N386" s="273"/>
      <c r="O386" s="273"/>
      <c r="P386" s="220"/>
      <c r="Q386" s="274"/>
      <c r="R386" s="217" t="str">
        <f ca="1">IF(ISERROR($V386),"",OFFSET('Smelter Look-up'!$C$4,$V386-4,0)&amp;"")</f>
        <v>Sai Refinery</v>
      </c>
      <c r="S386" s="225" t="str">
        <f t="shared" ca="1" si="51"/>
        <v>IN</v>
      </c>
      <c r="T386" s="225" t="str">
        <f ca="1">IF(B386="","",IF(ISERROR(MATCH($J386,SorP!$B$1:$B$6230,0)),"",INDIRECT("'SorP'!$A$"&amp;MATCH($J386,SorP!$B$1:$B$6230,0))))</f>
        <v>IN-HP</v>
      </c>
      <c r="U386" s="241"/>
      <c r="V386" s="275">
        <f>IF(C386="",NA(),MATCH($B386&amp;$C386,'Smelter Look-up'!$J:$J,0))</f>
        <v>208</v>
      </c>
      <c r="W386" s="276"/>
      <c r="X386" s="276">
        <f t="shared" si="52"/>
        <v>0</v>
      </c>
      <c r="Y386" s="276"/>
      <c r="Z386" s="276"/>
      <c r="AB386" s="278" t="str">
        <f t="shared" si="53"/>
        <v>GoldSai Refinery</v>
      </c>
    </row>
    <row r="387" spans="1:28" s="277" customFormat="1" ht="54">
      <c r="A387" s="216"/>
      <c r="B387" s="217" t="s">
        <v>1153</v>
      </c>
      <c r="C387" s="221" t="s">
        <v>1431</v>
      </c>
      <c r="D387" s="283" t="s">
        <v>1431</v>
      </c>
      <c r="E387" s="217" t="s">
        <v>1134</v>
      </c>
      <c r="F387" s="217" t="s">
        <v>1432</v>
      </c>
      <c r="G387" s="217" t="s">
        <v>15513</v>
      </c>
      <c r="H387" s="218">
        <f ca="1">IF(ISERROR($V387),"",OFFSET('Smelter Look-up'!$G$4,$V387-4,0))</f>
        <v>0</v>
      </c>
      <c r="I387" s="219" t="str">
        <f ca="1">IF(ISERROR($V387),"",OFFSET('Smelter Look-up'!$H$4,$V387-4,0))</f>
        <v>Namdong</v>
      </c>
      <c r="J387" s="219" t="str">
        <f ca="1">IF(ISERROR($V387),"",OFFSET('Smelter Look-up'!$I$4,$V387-4,0))</f>
        <v>Incheon-gwangyeoksi</v>
      </c>
      <c r="K387" s="273"/>
      <c r="L387" s="273"/>
      <c r="M387" s="273"/>
      <c r="N387" s="273"/>
      <c r="O387" s="273"/>
      <c r="P387" s="220"/>
      <c r="Q387" s="274"/>
      <c r="R387" s="217" t="str">
        <f ca="1">IF(ISERROR($V387),"",OFFSET('Smelter Look-up'!$C$4,$V387-4,0)&amp;"")</f>
        <v>Samduck Precious Metals</v>
      </c>
      <c r="S387" s="225" t="str">
        <f t="shared" ca="1" si="51"/>
        <v>KR</v>
      </c>
      <c r="T387" s="225" t="str">
        <f ca="1">IF(B387="","",IF(ISERROR(MATCH($J387,SorP!$B$1:$B$6230,0)),"",INDIRECT("'SorP'!$A$"&amp;MATCH($J387,SorP!$B$1:$B$6230,0))))</f>
        <v>KR-28</v>
      </c>
      <c r="U387" s="241"/>
      <c r="V387" s="275">
        <f>IF(C387="",NA(),MATCH($B387&amp;$C387,'Smelter Look-up'!$J:$J,0))</f>
        <v>210</v>
      </c>
      <c r="W387" s="276"/>
      <c r="X387" s="276">
        <f t="shared" si="52"/>
        <v>0</v>
      </c>
      <c r="Y387" s="276"/>
      <c r="Z387" s="276"/>
      <c r="AB387" s="278" t="str">
        <f t="shared" si="53"/>
        <v>GoldSamduck Precious Metals</v>
      </c>
    </row>
    <row r="388" spans="1:28" s="277" customFormat="1" ht="54">
      <c r="A388" s="216"/>
      <c r="B388" s="217" t="s">
        <v>1153</v>
      </c>
      <c r="C388" s="221" t="s">
        <v>2587</v>
      </c>
      <c r="D388" s="283" t="s">
        <v>2587</v>
      </c>
      <c r="E388" s="217" t="s">
        <v>1134</v>
      </c>
      <c r="F388" s="217" t="s">
        <v>742</v>
      </c>
      <c r="G388" s="217" t="s">
        <v>15513</v>
      </c>
      <c r="H388" s="218">
        <f ca="1">IF(ISERROR($V388),"",OFFSET('Smelter Look-up'!$G$4,$V388-4,0))</f>
        <v>0</v>
      </c>
      <c r="I388" s="219" t="str">
        <f ca="1">IF(ISERROR($V388),"",OFFSET('Smelter Look-up'!$H$4,$V388-4,0))</f>
        <v>Changwon</v>
      </c>
      <c r="J388" s="219" t="str">
        <f ca="1">IF(ISERROR($V388),"",OFFSET('Smelter Look-up'!$I$4,$V388-4,0))</f>
        <v>Gyeongsangnam-do</v>
      </c>
      <c r="K388" s="273"/>
      <c r="L388" s="273"/>
      <c r="M388" s="273"/>
      <c r="N388" s="273"/>
      <c r="O388" s="273"/>
      <c r="P388" s="220"/>
      <c r="Q388" s="274"/>
      <c r="R388" s="217" t="str">
        <f ca="1">IF(ISERROR($V388),"",OFFSET('Smelter Look-up'!$C$4,$V388-4,0)&amp;"")</f>
        <v>Samwon Metals Corp.</v>
      </c>
      <c r="S388" s="225" t="str">
        <f t="shared" ca="1" si="51"/>
        <v>KR</v>
      </c>
      <c r="T388" s="225" t="str">
        <f ca="1">IF(B388="","",IF(ISERROR(MATCH($J388,SorP!$B$1:$B$6230,0)),"",INDIRECT("'SorP'!$A$"&amp;MATCH($J388,SorP!$B$1:$B$6230,0))))</f>
        <v>KR-48</v>
      </c>
      <c r="U388" s="241"/>
      <c r="V388" s="275">
        <f>IF(C388="",NA(),MATCH($B388&amp;$C388,'Smelter Look-up'!$J:$J,0))</f>
        <v>211</v>
      </c>
      <c r="W388" s="276"/>
      <c r="X388" s="276">
        <f t="shared" si="52"/>
        <v>0</v>
      </c>
      <c r="Y388" s="276"/>
      <c r="Z388" s="276"/>
      <c r="AB388" s="278" t="str">
        <f t="shared" si="53"/>
        <v>GoldSamwon Metals Corp.</v>
      </c>
    </row>
    <row r="389" spans="1:28" s="277" customFormat="1" ht="40.5">
      <c r="A389" s="216"/>
      <c r="B389" s="217" t="s">
        <v>1153</v>
      </c>
      <c r="C389" s="221" t="s">
        <v>1898</v>
      </c>
      <c r="D389" s="283" t="s">
        <v>15758</v>
      </c>
      <c r="E389" s="217" t="s">
        <v>13323</v>
      </c>
      <c r="F389" s="217" t="s">
        <v>14250</v>
      </c>
      <c r="G389" s="217" t="s">
        <v>14250</v>
      </c>
      <c r="H389" s="218" t="s">
        <v>15759</v>
      </c>
      <c r="I389" s="219" t="s">
        <v>14250</v>
      </c>
      <c r="J389" s="219" t="s">
        <v>14250</v>
      </c>
      <c r="K389" s="273" t="s">
        <v>15760</v>
      </c>
      <c r="L389" s="273" t="s">
        <v>15761</v>
      </c>
      <c r="M389" s="273"/>
      <c r="N389" s="273"/>
      <c r="O389" s="273" t="s">
        <v>15521</v>
      </c>
      <c r="P389" s="220"/>
      <c r="Q389" s="274"/>
      <c r="R389" s="217" t="str">
        <f ca="1">IF(ISERROR($V389),"",OFFSET('Smelter Look-up'!$C$4,$V389-4,0)&amp;"")</f>
        <v/>
      </c>
      <c r="S389" s="225" t="str">
        <f t="shared" ref="S389" ca="1" si="54">IF(B389="","",IF(ISERROR(MATCH($E389,CL,0)),"Unknown",INDIRECT("'C'!$A$"&amp;MATCH($E389,CL,0)+1)))</f>
        <v>CO</v>
      </c>
      <c r="T389" s="225" t="str">
        <f ca="1">IF(B389="","",IF(ISERROR(MATCH($J389,SorP!$B$1:$B$6230,0)),"",INDIRECT("'SorP'!$A$"&amp;MATCH($J389,SorP!$B$1:$B$6230,0))))</f>
        <v/>
      </c>
      <c r="U389" s="241"/>
      <c r="V389" s="275">
        <f>IF(C389="",NA(),MATCH($B389&amp;$C389,'Smelter Look-up'!$J:$J,0))</f>
        <v>293</v>
      </c>
      <c r="W389" s="276"/>
      <c r="X389" s="276">
        <f t="shared" ref="X389" si="55">IF(AND(C389="Smelter not listed",OR(LEN(D389)=0,LEN(E389)=0)),1,0)</f>
        <v>0</v>
      </c>
      <c r="Y389" s="276"/>
      <c r="Z389" s="276"/>
      <c r="AB389" s="278" t="str">
        <f t="shared" ref="AB389" si="56">B389&amp;C389</f>
        <v>GoldSmelter not listed</v>
      </c>
    </row>
    <row r="390" spans="1:28" s="277" customFormat="1" ht="67.5">
      <c r="A390" s="216"/>
      <c r="B390" s="217" t="s">
        <v>1153</v>
      </c>
      <c r="C390" s="221" t="s">
        <v>2311</v>
      </c>
      <c r="D390" s="283" t="s">
        <v>2311</v>
      </c>
      <c r="E390" s="217" t="s">
        <v>1124</v>
      </c>
      <c r="F390" s="217" t="s">
        <v>2314</v>
      </c>
      <c r="G390" s="217" t="s">
        <v>15513</v>
      </c>
      <c r="H390" s="218">
        <f ca="1">IF(ISERROR($V390),"",OFFSET('Smelter Look-up'!$G$4,$V390-4,0))</f>
        <v>0</v>
      </c>
      <c r="I390" s="219" t="str">
        <f ca="1">IF(ISERROR($V390),"",OFFSET('Smelter Look-up'!$H$4,$V390-4,0))</f>
        <v>Halsbrücke</v>
      </c>
      <c r="J390" s="219" t="str">
        <f ca="1">IF(ISERROR($V390),"",OFFSET('Smelter Look-up'!$I$4,$V390-4,0))</f>
        <v>Sachsen</v>
      </c>
      <c r="K390" s="273"/>
      <c r="L390" s="273"/>
      <c r="M390" s="273"/>
      <c r="N390" s="273"/>
      <c r="O390" s="273"/>
      <c r="P390" s="220"/>
      <c r="Q390" s="274"/>
      <c r="R390" s="217" t="str">
        <f ca="1">IF(ISERROR($V390),"",OFFSET('Smelter Look-up'!$C$4,$V390-4,0)&amp;"")</f>
        <v>SAXONIA Edelmetalle GmbH</v>
      </c>
      <c r="S390" s="225" t="str">
        <f t="shared" ref="S390:S421" ca="1" si="57">IF(B390="","",IF(ISERROR(MATCH($E390,CL,0)),"Unknown",INDIRECT("'C'!$A$"&amp;MATCH($E390,CL,0)+1)))</f>
        <v>DE</v>
      </c>
      <c r="T390" s="225" t="str">
        <f ca="1">IF(B390="","",IF(ISERROR(MATCH($J390,SorP!$B$1:$B$6230,0)),"",INDIRECT("'SorP'!$A$"&amp;MATCH($J390,SorP!$B$1:$B$6230,0))))</f>
        <v>DE-SN</v>
      </c>
      <c r="U390" s="241"/>
      <c r="V390" s="275">
        <f>IF(C390="",NA(),MATCH($B390&amp;$C390,'Smelter Look-up'!$J:$J,0))</f>
        <v>212</v>
      </c>
      <c r="W390" s="276"/>
      <c r="X390" s="276">
        <f t="shared" ref="X390:X421" si="58">IF(AND(C390="Smelter not listed",OR(LEN(D390)=0,LEN(E390)=0)),1,0)</f>
        <v>0</v>
      </c>
      <c r="Y390" s="276"/>
      <c r="Z390" s="276"/>
      <c r="AB390" s="278" t="str">
        <f t="shared" ref="AB390:AB421" si="59">B390&amp;C390</f>
        <v>GoldSAXONIA Edelmetalle GmbH</v>
      </c>
    </row>
    <row r="391" spans="1:28" s="277" customFormat="1" ht="40.5">
      <c r="A391" s="216"/>
      <c r="B391" s="217" t="s">
        <v>1153</v>
      </c>
      <c r="C391" s="221" t="s">
        <v>1898</v>
      </c>
      <c r="D391" s="283" t="s">
        <v>15762</v>
      </c>
      <c r="E391" s="217" t="s">
        <v>1139</v>
      </c>
      <c r="F391" s="217" t="s">
        <v>15763</v>
      </c>
      <c r="G391" s="217" t="s">
        <v>15513</v>
      </c>
      <c r="H391" s="218">
        <f ca="1">IF(ISERROR($V391),"",OFFSET('Smelter Look-up'!$G$4,$V391-4,0))</f>
        <v>0</v>
      </c>
      <c r="I391" s="219">
        <f ca="1">IF(ISERROR($V391),"",OFFSET('Smelter Look-up'!$H$4,$V391-4,0))</f>
        <v>0</v>
      </c>
      <c r="J391" s="219">
        <f ca="1">IF(ISERROR($V391),"",OFFSET('Smelter Look-up'!$I$4,$V391-4,0))</f>
        <v>0</v>
      </c>
      <c r="K391" s="273"/>
      <c r="L391" s="273"/>
      <c r="M391" s="273"/>
      <c r="N391" s="273"/>
      <c r="O391" s="273"/>
      <c r="P391" s="220"/>
      <c r="Q391" s="274"/>
      <c r="R391" s="217" t="str">
        <f ca="1">IF(ISERROR($V391),"",OFFSET('Smelter Look-up'!$C$4,$V391-4,0)&amp;"")</f>
        <v/>
      </c>
      <c r="S391" s="225" t="str">
        <f t="shared" ca="1" si="57"/>
        <v>NL</v>
      </c>
      <c r="T391" s="225" t="str">
        <f ca="1">IF(B391="","",IF(ISERROR(MATCH($J391,SorP!$B$1:$B$6230,0)),"",INDIRECT("'SorP'!$A$"&amp;MATCH($J391,SorP!$B$1:$B$6230,0))))</f>
        <v/>
      </c>
      <c r="U391" s="241"/>
      <c r="V391" s="275">
        <f>IF(C391="",NA(),MATCH($B391&amp;$C391,'Smelter Look-up'!$J:$J,0))</f>
        <v>293</v>
      </c>
      <c r="W391" s="276"/>
      <c r="X391" s="276">
        <f t="shared" si="58"/>
        <v>0</v>
      </c>
      <c r="Y391" s="276"/>
      <c r="Z391" s="276"/>
      <c r="AB391" s="278" t="str">
        <f t="shared" si="59"/>
        <v>GoldSmelter not listed</v>
      </c>
    </row>
    <row r="392" spans="1:28" s="277" customFormat="1" ht="40.5">
      <c r="A392" s="216"/>
      <c r="B392" s="217" t="s">
        <v>1153</v>
      </c>
      <c r="C392" s="221" t="s">
        <v>1898</v>
      </c>
      <c r="D392" s="283" t="s">
        <v>15764</v>
      </c>
      <c r="E392" s="217" t="s">
        <v>13409</v>
      </c>
      <c r="F392" s="217" t="s">
        <v>14250</v>
      </c>
      <c r="G392" s="217" t="s">
        <v>14250</v>
      </c>
      <c r="H392" s="218" t="s">
        <v>15765</v>
      </c>
      <c r="I392" s="219" t="s">
        <v>14250</v>
      </c>
      <c r="J392" s="219" t="s">
        <v>14250</v>
      </c>
      <c r="K392" s="273" t="s">
        <v>15766</v>
      </c>
      <c r="L392" s="273" t="s">
        <v>15767</v>
      </c>
      <c r="M392" s="273"/>
      <c r="N392" s="273"/>
      <c r="O392" s="273" t="s">
        <v>15521</v>
      </c>
      <c r="P392" s="220"/>
      <c r="Q392" s="274"/>
      <c r="R392" s="217" t="str">
        <f ca="1">IF(ISERROR($V392),"",OFFSET('Smelter Look-up'!$C$4,$V392-4,0)&amp;"")</f>
        <v/>
      </c>
      <c r="S392" s="225" t="str">
        <f t="shared" ca="1" si="57"/>
        <v>MR</v>
      </c>
      <c r="T392" s="225" t="str">
        <f ca="1">IF(B392="","",IF(ISERROR(MATCH($J392,SorP!$B$1:$B$6230,0)),"",INDIRECT("'SorP'!$A$"&amp;MATCH($J392,SorP!$B$1:$B$6230,0))))</f>
        <v/>
      </c>
      <c r="U392" s="241"/>
      <c r="V392" s="275">
        <f>IF(C392="",NA(),MATCH($B392&amp;$C392,'Smelter Look-up'!$J:$J,0))</f>
        <v>293</v>
      </c>
      <c r="W392" s="276"/>
      <c r="X392" s="276">
        <f t="shared" si="58"/>
        <v>0</v>
      </c>
      <c r="Y392" s="276"/>
      <c r="Z392" s="276"/>
      <c r="AB392" s="278" t="str">
        <f t="shared" si="59"/>
        <v>GoldSmelter not listed</v>
      </c>
    </row>
    <row r="393" spans="1:28" s="277" customFormat="1" ht="67.5">
      <c r="A393" s="216"/>
      <c r="B393" s="217" t="s">
        <v>1153</v>
      </c>
      <c r="C393" s="221" t="s">
        <v>12760</v>
      </c>
      <c r="D393" s="283" t="s">
        <v>12760</v>
      </c>
      <c r="E393" s="217" t="s">
        <v>1125</v>
      </c>
      <c r="F393" s="217" t="s">
        <v>743</v>
      </c>
      <c r="G393" s="217" t="s">
        <v>15513</v>
      </c>
      <c r="H393" s="218">
        <f ca="1">IF(ISERROR($V393),"",OFFSET('Smelter Look-up'!$G$4,$V393-4,0))</f>
        <v>0</v>
      </c>
      <c r="I393" s="219" t="str">
        <f ca="1">IF(ISERROR($V393),"",OFFSET('Smelter Look-up'!$H$4,$V393-4,0))</f>
        <v>Madrid</v>
      </c>
      <c r="J393" s="219" t="str">
        <f ca="1">IF(ISERROR($V393),"",OFFSET('Smelter Look-up'!$I$4,$V393-4,0))</f>
        <v>Madrid, Comunidad de</v>
      </c>
      <c r="K393" s="273"/>
      <c r="L393" s="273"/>
      <c r="M393" s="273"/>
      <c r="N393" s="273"/>
      <c r="O393" s="273"/>
      <c r="P393" s="220"/>
      <c r="Q393" s="274"/>
      <c r="R393" s="217" t="str">
        <f ca="1">IF(ISERROR($V393),"",OFFSET('Smelter Look-up'!$C$4,$V393-4,0)&amp;"")</f>
        <v>SEMPSA Joyeria Plateria S.A.</v>
      </c>
      <c r="S393" s="225" t="str">
        <f t="shared" ca="1" si="57"/>
        <v>ES</v>
      </c>
      <c r="T393" s="225" t="str">
        <f ca="1">IF(B393="","",IF(ISERROR(MATCH($J393,SorP!$B$1:$B$6230,0)),"",INDIRECT("'SorP'!$A$"&amp;MATCH($J393,SorP!$B$1:$B$6230,0))))</f>
        <v>ES-MD</v>
      </c>
      <c r="U393" s="241"/>
      <c r="V393" s="275">
        <f>IF(C393="",NA(),MATCH($B393&amp;$C393,'Smelter Look-up'!$J:$J,0))</f>
        <v>214</v>
      </c>
      <c r="W393" s="276"/>
      <c r="X393" s="276">
        <f t="shared" si="58"/>
        <v>0</v>
      </c>
      <c r="Y393" s="276"/>
      <c r="Z393" s="276"/>
      <c r="AB393" s="278" t="str">
        <f t="shared" si="59"/>
        <v>GoldSEMPSA Joyeria Plateria S.A.</v>
      </c>
    </row>
    <row r="394" spans="1:28" s="277" customFormat="1" ht="40.5">
      <c r="A394" s="216"/>
      <c r="B394" s="217" t="s">
        <v>1153</v>
      </c>
      <c r="C394" s="221" t="s">
        <v>1898</v>
      </c>
      <c r="D394" s="283" t="s">
        <v>15768</v>
      </c>
      <c r="E394" s="217" t="s">
        <v>1125</v>
      </c>
      <c r="F394" s="217" t="s">
        <v>14250</v>
      </c>
      <c r="G394" s="217" t="s">
        <v>14250</v>
      </c>
      <c r="H394" s="218" t="s">
        <v>15514</v>
      </c>
      <c r="I394" s="219" t="s">
        <v>1683</v>
      </c>
      <c r="J394" s="219" t="s">
        <v>15769</v>
      </c>
      <c r="K394" s="273"/>
      <c r="L394" s="273"/>
      <c r="M394" s="273"/>
      <c r="N394" s="273"/>
      <c r="O394" s="273"/>
      <c r="P394" s="220"/>
      <c r="Q394" s="274"/>
      <c r="R394" s="217" t="str">
        <f ca="1">IF(ISERROR($V394),"",OFFSET('Smelter Look-up'!$C$4,$V394-4,0)&amp;"")</f>
        <v/>
      </c>
      <c r="S394" s="225" t="str">
        <f t="shared" ca="1" si="57"/>
        <v>ES</v>
      </c>
      <c r="T394" s="225" t="str">
        <f ca="1">IF(B394="","",IF(ISERROR(MATCH($J394,SorP!$B$1:$B$6230,0)),"",INDIRECT("'SorP'!$A$"&amp;MATCH($J394,SorP!$B$1:$B$6230,0))))</f>
        <v/>
      </c>
      <c r="U394" s="241"/>
      <c r="V394" s="275">
        <f>IF(C394="",NA(),MATCH($B394&amp;$C394,'Smelter Look-up'!$J:$J,0))</f>
        <v>293</v>
      </c>
      <c r="W394" s="276"/>
      <c r="X394" s="276">
        <f t="shared" si="58"/>
        <v>0</v>
      </c>
      <c r="Y394" s="276"/>
      <c r="Z394" s="276"/>
      <c r="AB394" s="278" t="str">
        <f t="shared" si="59"/>
        <v>GoldSmelter not listed</v>
      </c>
    </row>
    <row r="395" spans="1:28" s="277" customFormat="1" ht="40.5">
      <c r="A395" s="216"/>
      <c r="B395" s="217" t="s">
        <v>1153</v>
      </c>
      <c r="C395" s="221" t="s">
        <v>1898</v>
      </c>
      <c r="D395" s="283" t="s">
        <v>15770</v>
      </c>
      <c r="E395" s="217" t="s">
        <v>1123</v>
      </c>
      <c r="F395" s="217" t="s">
        <v>14250</v>
      </c>
      <c r="G395" s="217" t="s">
        <v>14250</v>
      </c>
      <c r="H395" s="218">
        <f ca="1">IF(ISERROR($V395),"",OFFSET('Smelter Look-up'!$G$4,$V395-4,0))</f>
        <v>0</v>
      </c>
      <c r="I395" s="219">
        <f ca="1">IF(ISERROR($V395),"",OFFSET('Smelter Look-up'!$H$4,$V395-4,0))</f>
        <v>0</v>
      </c>
      <c r="J395" s="219">
        <f ca="1">IF(ISERROR($V395),"",OFFSET('Smelter Look-up'!$I$4,$V395-4,0))</f>
        <v>0</v>
      </c>
      <c r="K395" s="273"/>
      <c r="L395" s="273"/>
      <c r="M395" s="273"/>
      <c r="N395" s="273"/>
      <c r="O395" s="273"/>
      <c r="P395" s="220"/>
      <c r="Q395" s="274"/>
      <c r="R395" s="217" t="str">
        <f ca="1">IF(ISERROR($V395),"",OFFSET('Smelter Look-up'!$C$4,$V395-4,0)&amp;"")</f>
        <v/>
      </c>
      <c r="S395" s="225" t="str">
        <f t="shared" ca="1" si="57"/>
        <v>CN</v>
      </c>
      <c r="T395" s="225" t="str">
        <f ca="1">IF(B395="","",IF(ISERROR(MATCH($J395,SorP!$B$1:$B$6230,0)),"",INDIRECT("'SorP'!$A$"&amp;MATCH($J395,SorP!$B$1:$B$6230,0))))</f>
        <v/>
      </c>
      <c r="U395" s="241"/>
      <c r="V395" s="275">
        <f>IF(C395="",NA(),MATCH($B395&amp;$C395,'Smelter Look-up'!$J:$J,0))</f>
        <v>293</v>
      </c>
      <c r="W395" s="276"/>
      <c r="X395" s="276">
        <f t="shared" si="58"/>
        <v>0</v>
      </c>
      <c r="Y395" s="276"/>
      <c r="Z395" s="276"/>
      <c r="AB395" s="278" t="str">
        <f t="shared" si="59"/>
        <v>GoldSmelter not listed</v>
      </c>
    </row>
    <row r="396" spans="1:28" s="277" customFormat="1" ht="40.5">
      <c r="A396" s="216"/>
      <c r="B396" s="217" t="s">
        <v>1153</v>
      </c>
      <c r="C396" s="221" t="s">
        <v>1898</v>
      </c>
      <c r="D396" s="283" t="s">
        <v>15771</v>
      </c>
      <c r="E396" s="217" t="s">
        <v>1123</v>
      </c>
      <c r="F396" s="217" t="s">
        <v>14250</v>
      </c>
      <c r="G396" s="217" t="s">
        <v>14250</v>
      </c>
      <c r="H396" s="218">
        <f ca="1">IF(ISERROR($V396),"",OFFSET('Smelter Look-up'!$G$4,$V396-4,0))</f>
        <v>0</v>
      </c>
      <c r="I396" s="219">
        <f ca="1">IF(ISERROR($V396),"",OFFSET('Smelter Look-up'!$H$4,$V396-4,0))</f>
        <v>0</v>
      </c>
      <c r="J396" s="219">
        <f ca="1">IF(ISERROR($V396),"",OFFSET('Smelter Look-up'!$I$4,$V396-4,0))</f>
        <v>0</v>
      </c>
      <c r="K396" s="273"/>
      <c r="L396" s="273"/>
      <c r="M396" s="273"/>
      <c r="N396" s="273"/>
      <c r="O396" s="273"/>
      <c r="P396" s="220"/>
      <c r="Q396" s="274"/>
      <c r="R396" s="217" t="str">
        <f ca="1">IF(ISERROR($V396),"",OFFSET('Smelter Look-up'!$C$4,$V396-4,0)&amp;"")</f>
        <v/>
      </c>
      <c r="S396" s="225" t="str">
        <f t="shared" ca="1" si="57"/>
        <v>CN</v>
      </c>
      <c r="T396" s="225" t="str">
        <f ca="1">IF(B396="","",IF(ISERROR(MATCH($J396,SorP!$B$1:$B$6230,0)),"",INDIRECT("'SorP'!$A$"&amp;MATCH($J396,SorP!$B$1:$B$6230,0))))</f>
        <v/>
      </c>
      <c r="U396" s="241"/>
      <c r="V396" s="275">
        <f>IF(C396="",NA(),MATCH($B396&amp;$C396,'Smelter Look-up'!$J:$J,0))</f>
        <v>293</v>
      </c>
      <c r="W396" s="276"/>
      <c r="X396" s="276">
        <f t="shared" si="58"/>
        <v>0</v>
      </c>
      <c r="Y396" s="276"/>
      <c r="Z396" s="276"/>
      <c r="AB396" s="278" t="str">
        <f t="shared" si="59"/>
        <v>GoldSmelter not listed</v>
      </c>
    </row>
    <row r="397" spans="1:28" s="277" customFormat="1" ht="40.5">
      <c r="A397" s="216"/>
      <c r="B397" s="217" t="s">
        <v>1154</v>
      </c>
      <c r="C397" s="221" t="s">
        <v>1898</v>
      </c>
      <c r="D397" s="283" t="s">
        <v>15771</v>
      </c>
      <c r="E397" s="217" t="s">
        <v>1123</v>
      </c>
      <c r="F397" s="217" t="s">
        <v>14250</v>
      </c>
      <c r="G397" s="217" t="s">
        <v>14250</v>
      </c>
      <c r="H397" s="218">
        <f ca="1">IF(ISERROR($V397),"",OFFSET('Smelter Look-up'!$G$4,$V397-4,0))</f>
        <v>0</v>
      </c>
      <c r="I397" s="219">
        <f ca="1">IF(ISERROR($V397),"",OFFSET('Smelter Look-up'!$H$4,$V397-4,0))</f>
        <v>0</v>
      </c>
      <c r="J397" s="219">
        <f ca="1">IF(ISERROR($V397),"",OFFSET('Smelter Look-up'!$I$4,$V397-4,0))</f>
        <v>0</v>
      </c>
      <c r="K397" s="273"/>
      <c r="L397" s="273"/>
      <c r="M397" s="273"/>
      <c r="N397" s="273"/>
      <c r="O397" s="273"/>
      <c r="P397" s="220"/>
      <c r="Q397" s="274"/>
      <c r="R397" s="217" t="str">
        <f ca="1">IF(ISERROR($V397),"",OFFSET('Smelter Look-up'!$C$4,$V397-4,0)&amp;"")</f>
        <v/>
      </c>
      <c r="S397" s="225" t="str">
        <f t="shared" ca="1" si="57"/>
        <v>CN</v>
      </c>
      <c r="T397" s="225" t="str">
        <f ca="1">IF(B397="","",IF(ISERROR(MATCH($J397,SorP!$B$1:$B$6230,0)),"",INDIRECT("'SorP'!$A$"&amp;MATCH($J397,SorP!$B$1:$B$6230,0))))</f>
        <v/>
      </c>
      <c r="U397" s="241"/>
      <c r="V397" s="275">
        <f>IF(C397="",NA(),MATCH($B397&amp;$C397,'Smelter Look-up'!$J:$J,0))</f>
        <v>484</v>
      </c>
      <c r="W397" s="276"/>
      <c r="X397" s="276">
        <f t="shared" si="58"/>
        <v>0</v>
      </c>
      <c r="Y397" s="276"/>
      <c r="Z397" s="276"/>
      <c r="AB397" s="278" t="str">
        <f t="shared" si="59"/>
        <v>TinSmelter not listed</v>
      </c>
    </row>
    <row r="398" spans="1:28" s="277" customFormat="1" ht="40.5">
      <c r="A398" s="216"/>
      <c r="B398" s="217" t="s">
        <v>1153</v>
      </c>
      <c r="C398" s="221" t="s">
        <v>1898</v>
      </c>
      <c r="D398" s="283" t="s">
        <v>15772</v>
      </c>
      <c r="E398" s="217" t="s">
        <v>1123</v>
      </c>
      <c r="F398" s="217" t="s">
        <v>14250</v>
      </c>
      <c r="G398" s="217" t="s">
        <v>14250</v>
      </c>
      <c r="H398" s="218">
        <f ca="1">IF(ISERROR($V398),"",OFFSET('Smelter Look-up'!$G$4,$V398-4,0))</f>
        <v>0</v>
      </c>
      <c r="I398" s="219">
        <f ca="1">IF(ISERROR($V398),"",OFFSET('Smelter Look-up'!$H$4,$V398-4,0))</f>
        <v>0</v>
      </c>
      <c r="J398" s="219">
        <f ca="1">IF(ISERROR($V398),"",OFFSET('Smelter Look-up'!$I$4,$V398-4,0))</f>
        <v>0</v>
      </c>
      <c r="K398" s="273"/>
      <c r="L398" s="273"/>
      <c r="M398" s="273"/>
      <c r="N398" s="273"/>
      <c r="O398" s="273"/>
      <c r="P398" s="220"/>
      <c r="Q398" s="274"/>
      <c r="R398" s="217" t="str">
        <f ca="1">IF(ISERROR($V398),"",OFFSET('Smelter Look-up'!$C$4,$V398-4,0)&amp;"")</f>
        <v/>
      </c>
      <c r="S398" s="225" t="str">
        <f t="shared" ca="1" si="57"/>
        <v>CN</v>
      </c>
      <c r="T398" s="225" t="str">
        <f ca="1">IF(B398="","",IF(ISERROR(MATCH($J398,SorP!$B$1:$B$6230,0)),"",INDIRECT("'SorP'!$A$"&amp;MATCH($J398,SorP!$B$1:$B$6230,0))))</f>
        <v/>
      </c>
      <c r="U398" s="241"/>
      <c r="V398" s="275">
        <f>IF(C398="",NA(),MATCH($B398&amp;$C398,'Smelter Look-up'!$J:$J,0))</f>
        <v>293</v>
      </c>
      <c r="W398" s="276"/>
      <c r="X398" s="276">
        <f t="shared" si="58"/>
        <v>0</v>
      </c>
      <c r="Y398" s="276"/>
      <c r="Z398" s="276"/>
      <c r="AB398" s="278" t="str">
        <f t="shared" si="59"/>
        <v>GoldSmelter not listed</v>
      </c>
    </row>
    <row r="399" spans="1:28" s="277" customFormat="1" ht="40.5">
      <c r="A399" s="216"/>
      <c r="B399" s="217" t="s">
        <v>1153</v>
      </c>
      <c r="C399" s="221" t="s">
        <v>1898</v>
      </c>
      <c r="D399" s="283" t="s">
        <v>15773</v>
      </c>
      <c r="E399" s="217" t="s">
        <v>1123</v>
      </c>
      <c r="F399" s="217" t="s">
        <v>14250</v>
      </c>
      <c r="G399" s="217" t="s">
        <v>14250</v>
      </c>
      <c r="H399" s="218">
        <f ca="1">IF(ISERROR($V399),"",OFFSET('Smelter Look-up'!$G$4,$V399-4,0))</f>
        <v>0</v>
      </c>
      <c r="I399" s="219">
        <f ca="1">IF(ISERROR($V399),"",OFFSET('Smelter Look-up'!$H$4,$V399-4,0))</f>
        <v>0</v>
      </c>
      <c r="J399" s="219">
        <f ca="1">IF(ISERROR($V399),"",OFFSET('Smelter Look-up'!$I$4,$V399-4,0))</f>
        <v>0</v>
      </c>
      <c r="K399" s="273"/>
      <c r="L399" s="273"/>
      <c r="M399" s="273"/>
      <c r="N399" s="273"/>
      <c r="O399" s="273"/>
      <c r="P399" s="220"/>
      <c r="Q399" s="274"/>
      <c r="R399" s="217" t="str">
        <f ca="1">IF(ISERROR($V399),"",OFFSET('Smelter Look-up'!$C$4,$V399-4,0)&amp;"")</f>
        <v/>
      </c>
      <c r="S399" s="225" t="str">
        <f t="shared" ca="1" si="57"/>
        <v>CN</v>
      </c>
      <c r="T399" s="225" t="str">
        <f ca="1">IF(B399="","",IF(ISERROR(MATCH($J399,SorP!$B$1:$B$6230,0)),"",INDIRECT("'SorP'!$A$"&amp;MATCH($J399,SorP!$B$1:$B$6230,0))))</f>
        <v/>
      </c>
      <c r="U399" s="241"/>
      <c r="V399" s="275">
        <f>IF(C399="",NA(),MATCH($B399&amp;$C399,'Smelter Look-up'!$J:$J,0))</f>
        <v>293</v>
      </c>
      <c r="W399" s="276"/>
      <c r="X399" s="276">
        <f t="shared" si="58"/>
        <v>0</v>
      </c>
      <c r="Y399" s="276"/>
      <c r="Z399" s="276"/>
      <c r="AB399" s="278" t="str">
        <f t="shared" si="59"/>
        <v>GoldSmelter not listed</v>
      </c>
    </row>
    <row r="400" spans="1:28" s="277" customFormat="1" ht="67.5">
      <c r="A400" s="216"/>
      <c r="B400" s="217" t="s">
        <v>1153</v>
      </c>
      <c r="C400" s="221" t="s">
        <v>14141</v>
      </c>
      <c r="D400" s="283" t="s">
        <v>14141</v>
      </c>
      <c r="E400" s="217" t="s">
        <v>1123</v>
      </c>
      <c r="F400" s="217" t="s">
        <v>14142</v>
      </c>
      <c r="G400" s="217" t="s">
        <v>14250</v>
      </c>
      <c r="H400" s="218">
        <f ca="1">IF(ISERROR($V400),"",OFFSET('Smelter Look-up'!$G$4,$V400-4,0))</f>
        <v>0</v>
      </c>
      <c r="I400" s="219" t="str">
        <f ca="1">IF(ISERROR($V400),"",OFFSET('Smelter Look-up'!$H$4,$V400-4,0))</f>
        <v>Laizhou</v>
      </c>
      <c r="J400" s="219" t="str">
        <f ca="1">IF(ISERROR($V400),"",OFFSET('Smelter Look-up'!$I$4,$V400-4,0))</f>
        <v>Shandong Sheng</v>
      </c>
      <c r="K400" s="273"/>
      <c r="L400" s="273"/>
      <c r="M400" s="273"/>
      <c r="N400" s="273"/>
      <c r="O400" s="273"/>
      <c r="P400" s="220"/>
      <c r="Q400" s="274"/>
      <c r="R400" s="217" t="str">
        <f ca="1">IF(ISERROR($V400),"",OFFSET('Smelter Look-up'!$C$4,$V400-4,0)&amp;"")</f>
        <v>Shandong Humon Smelting Co., Ltd.</v>
      </c>
      <c r="S400" s="225" t="str">
        <f t="shared" ca="1" si="57"/>
        <v>CN</v>
      </c>
      <c r="T400" s="225" t="str">
        <f ca="1">IF(B400="","",IF(ISERROR(MATCH($J400,SorP!$B$1:$B$6230,0)),"",INDIRECT("'SorP'!$A$"&amp;MATCH($J400,SorP!$B$1:$B$6230,0))))</f>
        <v>CN-SD</v>
      </c>
      <c r="U400" s="241"/>
      <c r="V400" s="275">
        <f>IF(C400="",NA(),MATCH($B400&amp;$C400,'Smelter Look-up'!$J:$J,0))</f>
        <v>219</v>
      </c>
      <c r="W400" s="276"/>
      <c r="X400" s="276">
        <f t="shared" si="58"/>
        <v>0</v>
      </c>
      <c r="Y400" s="276"/>
      <c r="Z400" s="276"/>
      <c r="AB400" s="278" t="str">
        <f t="shared" si="59"/>
        <v>GoldShandong Humon Smelting Co., Ltd.</v>
      </c>
    </row>
    <row r="401" spans="1:28" s="277" customFormat="1" ht="40.5">
      <c r="A401" s="216"/>
      <c r="B401" s="217" t="s">
        <v>1153</v>
      </c>
      <c r="C401" s="221" t="s">
        <v>1898</v>
      </c>
      <c r="D401" s="283" t="s">
        <v>15774</v>
      </c>
      <c r="E401" s="217" t="s">
        <v>1123</v>
      </c>
      <c r="F401" s="217" t="s">
        <v>14250</v>
      </c>
      <c r="G401" s="217" t="s">
        <v>14250</v>
      </c>
      <c r="H401" s="218">
        <f ca="1">IF(ISERROR($V401),"",OFFSET('Smelter Look-up'!$G$4,$V401-4,0))</f>
        <v>0</v>
      </c>
      <c r="I401" s="219">
        <f ca="1">IF(ISERROR($V401),"",OFFSET('Smelter Look-up'!$H$4,$V401-4,0))</f>
        <v>0</v>
      </c>
      <c r="J401" s="219">
        <f ca="1">IF(ISERROR($V401),"",OFFSET('Smelter Look-up'!$I$4,$V401-4,0))</f>
        <v>0</v>
      </c>
      <c r="K401" s="273"/>
      <c r="L401" s="273"/>
      <c r="M401" s="273"/>
      <c r="N401" s="273"/>
      <c r="O401" s="273"/>
      <c r="P401" s="220"/>
      <c r="Q401" s="274"/>
      <c r="R401" s="217" t="str">
        <f ca="1">IF(ISERROR($V401),"",OFFSET('Smelter Look-up'!$C$4,$V401-4,0)&amp;"")</f>
        <v/>
      </c>
      <c r="S401" s="225" t="str">
        <f t="shared" ca="1" si="57"/>
        <v>CN</v>
      </c>
      <c r="T401" s="225" t="str">
        <f ca="1">IF(B401="","",IF(ISERROR(MATCH($J401,SorP!$B$1:$B$6230,0)),"",INDIRECT("'SorP'!$A$"&amp;MATCH($J401,SorP!$B$1:$B$6230,0))))</f>
        <v/>
      </c>
      <c r="U401" s="241"/>
      <c r="V401" s="275">
        <f>IF(C401="",NA(),MATCH($B401&amp;$C401,'Smelter Look-up'!$J:$J,0))</f>
        <v>293</v>
      </c>
      <c r="W401" s="276"/>
      <c r="X401" s="276">
        <f t="shared" si="58"/>
        <v>0</v>
      </c>
      <c r="Y401" s="276"/>
      <c r="Z401" s="276"/>
      <c r="AB401" s="278" t="str">
        <f t="shared" si="59"/>
        <v>GoldSmelter not listed</v>
      </c>
    </row>
    <row r="402" spans="1:28" s="277" customFormat="1" ht="121.5">
      <c r="A402" s="216"/>
      <c r="B402" s="217" t="s">
        <v>1153</v>
      </c>
      <c r="C402" s="221" t="s">
        <v>1685</v>
      </c>
      <c r="D402" s="283" t="s">
        <v>1685</v>
      </c>
      <c r="E402" s="217" t="s">
        <v>1123</v>
      </c>
      <c r="F402" s="217" t="s">
        <v>1686</v>
      </c>
      <c r="G402" s="217" t="s">
        <v>15513</v>
      </c>
      <c r="H402" s="218">
        <f ca="1">IF(ISERROR($V402),"",OFFSET('Smelter Look-up'!$G$4,$V402-4,0))</f>
        <v>0</v>
      </c>
      <c r="I402" s="219" t="str">
        <f ca="1">IF(ISERROR($V402),"",OFFSET('Smelter Look-up'!$H$4,$V402-4,0))</f>
        <v>Laizhou</v>
      </c>
      <c r="J402" s="219" t="str">
        <f ca="1">IF(ISERROR($V402),"",OFFSET('Smelter Look-up'!$I$4,$V402-4,0))</f>
        <v>Shandong Sheng</v>
      </c>
      <c r="K402" s="273"/>
      <c r="L402" s="273"/>
      <c r="M402" s="273"/>
      <c r="N402" s="273"/>
      <c r="O402" s="273"/>
      <c r="P402" s="220"/>
      <c r="Q402" s="274"/>
      <c r="R402" s="217" t="str">
        <f ca="1">IF(ISERROR($V402),"",OFFSET('Smelter Look-up'!$C$4,$V402-4,0)&amp;"")</f>
        <v>Shandong Tiancheng Biological Gold Industrial Co., Ltd.</v>
      </c>
      <c r="S402" s="225" t="str">
        <f t="shared" ca="1" si="57"/>
        <v>CN</v>
      </c>
      <c r="T402" s="225" t="str">
        <f ca="1">IF(B402="","",IF(ISERROR(MATCH($J402,SorP!$B$1:$B$6230,0)),"",INDIRECT("'SorP'!$A$"&amp;MATCH($J402,SorP!$B$1:$B$6230,0))))</f>
        <v>CN-SD</v>
      </c>
      <c r="U402" s="241"/>
      <c r="V402" s="275">
        <f>IF(C402="",NA(),MATCH($B402&amp;$C402,'Smelter Look-up'!$J:$J,0))</f>
        <v>222</v>
      </c>
      <c r="W402" s="276"/>
      <c r="X402" s="276">
        <f t="shared" si="58"/>
        <v>0</v>
      </c>
      <c r="Y402" s="276"/>
      <c r="Z402" s="276"/>
      <c r="AB402" s="278" t="str">
        <f t="shared" si="59"/>
        <v>GoldShandong Tiancheng Biological Gold Industrial Co., Ltd.</v>
      </c>
    </row>
    <row r="403" spans="1:28" s="277" customFormat="1" ht="40.5">
      <c r="A403" s="216"/>
      <c r="B403" s="217" t="s">
        <v>1153</v>
      </c>
      <c r="C403" s="221" t="s">
        <v>1898</v>
      </c>
      <c r="D403" s="283" t="s">
        <v>15775</v>
      </c>
      <c r="E403" s="217" t="s">
        <v>1123</v>
      </c>
      <c r="F403" s="217" t="s">
        <v>14250</v>
      </c>
      <c r="G403" s="217" t="s">
        <v>14250</v>
      </c>
      <c r="H403" s="218">
        <f ca="1">IF(ISERROR($V403),"",OFFSET('Smelter Look-up'!$G$4,$V403-4,0))</f>
        <v>0</v>
      </c>
      <c r="I403" s="219">
        <f ca="1">IF(ISERROR($V403),"",OFFSET('Smelter Look-up'!$H$4,$V403-4,0))</f>
        <v>0</v>
      </c>
      <c r="J403" s="219">
        <f ca="1">IF(ISERROR($V403),"",OFFSET('Smelter Look-up'!$I$4,$V403-4,0))</f>
        <v>0</v>
      </c>
      <c r="K403" s="273"/>
      <c r="L403" s="273"/>
      <c r="M403" s="273"/>
      <c r="N403" s="273"/>
      <c r="O403" s="273"/>
      <c r="P403" s="220"/>
      <c r="Q403" s="274"/>
      <c r="R403" s="217" t="str">
        <f ca="1">IF(ISERROR($V403),"",OFFSET('Smelter Look-up'!$C$4,$V403-4,0)&amp;"")</f>
        <v/>
      </c>
      <c r="S403" s="225" t="str">
        <f t="shared" ca="1" si="57"/>
        <v>CN</v>
      </c>
      <c r="T403" s="225" t="str">
        <f ca="1">IF(B403="","",IF(ISERROR(MATCH($J403,SorP!$B$1:$B$6230,0)),"",INDIRECT("'SorP'!$A$"&amp;MATCH($J403,SorP!$B$1:$B$6230,0))))</f>
        <v/>
      </c>
      <c r="U403" s="241"/>
      <c r="V403" s="275">
        <f>IF(C403="",NA(),MATCH($B403&amp;$C403,'Smelter Look-up'!$J:$J,0))</f>
        <v>293</v>
      </c>
      <c r="W403" s="276"/>
      <c r="X403" s="276">
        <f t="shared" si="58"/>
        <v>0</v>
      </c>
      <c r="Y403" s="276"/>
      <c r="Z403" s="276"/>
      <c r="AB403" s="278" t="str">
        <f t="shared" si="59"/>
        <v>GoldSmelter not listed</v>
      </c>
    </row>
    <row r="404" spans="1:28" s="277" customFormat="1" ht="40.5">
      <c r="A404" s="216"/>
      <c r="B404" s="217" t="s">
        <v>1153</v>
      </c>
      <c r="C404" s="221" t="s">
        <v>1898</v>
      </c>
      <c r="D404" s="283" t="s">
        <v>15776</v>
      </c>
      <c r="E404" s="217" t="s">
        <v>1123</v>
      </c>
      <c r="F404" s="217" t="s">
        <v>14250</v>
      </c>
      <c r="G404" s="217" t="s">
        <v>14250</v>
      </c>
      <c r="H404" s="218" t="s">
        <v>15514</v>
      </c>
      <c r="I404" s="219" t="s">
        <v>1615</v>
      </c>
      <c r="J404" s="219" t="s">
        <v>15777</v>
      </c>
      <c r="K404" s="273"/>
      <c r="L404" s="273"/>
      <c r="M404" s="273"/>
      <c r="N404" s="273"/>
      <c r="O404" s="273"/>
      <c r="P404" s="220"/>
      <c r="Q404" s="274"/>
      <c r="R404" s="217" t="str">
        <f ca="1">IF(ISERROR($V404),"",OFFSET('Smelter Look-up'!$C$4,$V404-4,0)&amp;"")</f>
        <v/>
      </c>
      <c r="S404" s="225" t="str">
        <f t="shared" ca="1" si="57"/>
        <v>CN</v>
      </c>
      <c r="T404" s="225" t="str">
        <f ca="1">IF(B404="","",IF(ISERROR(MATCH($J404,SorP!$B$1:$B$6230,0)),"",INDIRECT("'SorP'!$A$"&amp;MATCH($J404,SorP!$B$1:$B$6230,0))))</f>
        <v/>
      </c>
      <c r="U404" s="241"/>
      <c r="V404" s="275">
        <f>IF(C404="",NA(),MATCH($B404&amp;$C404,'Smelter Look-up'!$J:$J,0))</f>
        <v>293</v>
      </c>
      <c r="W404" s="276"/>
      <c r="X404" s="276">
        <f t="shared" si="58"/>
        <v>0</v>
      </c>
      <c r="Y404" s="276"/>
      <c r="Z404" s="276"/>
      <c r="AB404" s="278" t="str">
        <f t="shared" si="59"/>
        <v>GoldSmelter not listed</v>
      </c>
    </row>
    <row r="405" spans="1:28" s="277" customFormat="1" ht="40.5">
      <c r="A405" s="216"/>
      <c r="B405" s="217" t="s">
        <v>1153</v>
      </c>
      <c r="C405" s="221" t="s">
        <v>1898</v>
      </c>
      <c r="D405" s="283" t="s">
        <v>15778</v>
      </c>
      <c r="E405" s="217" t="s">
        <v>1123</v>
      </c>
      <c r="F405" s="217" t="s">
        <v>14250</v>
      </c>
      <c r="G405" s="217" t="s">
        <v>14250</v>
      </c>
      <c r="H405" s="218" t="s">
        <v>14250</v>
      </c>
      <c r="I405" s="219" t="s">
        <v>1615</v>
      </c>
      <c r="J405" s="219" t="s">
        <v>13967</v>
      </c>
      <c r="K405" s="273"/>
      <c r="L405" s="273"/>
      <c r="M405" s="273" t="s">
        <v>15779</v>
      </c>
      <c r="N405" s="273" t="s">
        <v>500</v>
      </c>
      <c r="O405" s="273" t="s">
        <v>15607</v>
      </c>
      <c r="P405" s="220" t="s">
        <v>499</v>
      </c>
      <c r="Q405" s="274" t="s">
        <v>15780</v>
      </c>
      <c r="R405" s="217" t="str">
        <f ca="1">IF(ISERROR($V405),"",OFFSET('Smelter Look-up'!$C$4,$V405-4,0)&amp;"")</f>
        <v/>
      </c>
      <c r="S405" s="225" t="str">
        <f t="shared" ca="1" si="57"/>
        <v>CN</v>
      </c>
      <c r="T405" s="225" t="str">
        <f ca="1">IF(B405="","",IF(ISERROR(MATCH($J405,SorP!$B$1:$B$6230,0)),"",INDIRECT("'SorP'!$A$"&amp;MATCH($J405,SorP!$B$1:$B$6230,0))))</f>
        <v>CN-SD</v>
      </c>
      <c r="U405" s="241"/>
      <c r="V405" s="275">
        <f>IF(C405="",NA(),MATCH($B405&amp;$C405,'Smelter Look-up'!$J:$J,0))</f>
        <v>293</v>
      </c>
      <c r="W405" s="276"/>
      <c r="X405" s="276">
        <f t="shared" si="58"/>
        <v>0</v>
      </c>
      <c r="Y405" s="276"/>
      <c r="Z405" s="276"/>
      <c r="AB405" s="278" t="str">
        <f t="shared" si="59"/>
        <v>GoldSmelter not listed</v>
      </c>
    </row>
    <row r="406" spans="1:28" s="277" customFormat="1" ht="94.5">
      <c r="A406" s="216"/>
      <c r="B406" s="217" t="s">
        <v>1153</v>
      </c>
      <c r="C406" s="221" t="s">
        <v>2265</v>
      </c>
      <c r="D406" s="283" t="s">
        <v>2265</v>
      </c>
      <c r="E406" s="217" t="s">
        <v>1123</v>
      </c>
      <c r="F406" s="217" t="s">
        <v>744</v>
      </c>
      <c r="G406" s="217" t="s">
        <v>15513</v>
      </c>
      <c r="H406" s="218">
        <f ca="1">IF(ISERROR($V406),"",OFFSET('Smelter Look-up'!$G$4,$V406-4,0))</f>
        <v>0</v>
      </c>
      <c r="I406" s="219" t="str">
        <f ca="1">IF(ISERROR($V406),"",OFFSET('Smelter Look-up'!$H$4,$V406-4,0))</f>
        <v>Zhaoyuan</v>
      </c>
      <c r="J406" s="219" t="str">
        <f ca="1">IF(ISERROR($V406),"",OFFSET('Smelter Look-up'!$I$4,$V406-4,0))</f>
        <v>Shandong Sheng</v>
      </c>
      <c r="K406" s="273"/>
      <c r="L406" s="273"/>
      <c r="M406" s="273"/>
      <c r="N406" s="273"/>
      <c r="O406" s="273"/>
      <c r="P406" s="220"/>
      <c r="Q406" s="274"/>
      <c r="R406" s="217" t="str">
        <f ca="1">IF(ISERROR($V406),"",OFFSET('Smelter Look-up'!$C$4,$V406-4,0)&amp;"")</f>
        <v>Shandong Zhaojin Gold &amp; Silver Refinery Co., Ltd.</v>
      </c>
      <c r="S406" s="225" t="str">
        <f t="shared" ca="1" si="57"/>
        <v>CN</v>
      </c>
      <c r="T406" s="225" t="str">
        <f ca="1">IF(B406="","",IF(ISERROR(MATCH($J406,SorP!$B$1:$B$6230,0)),"",INDIRECT("'SorP'!$A$"&amp;MATCH($J406,SorP!$B$1:$B$6230,0))))</f>
        <v>CN-SD</v>
      </c>
      <c r="U406" s="241"/>
      <c r="V406" s="275">
        <f>IF(C406="",NA(),MATCH($B406&amp;$C406,'Smelter Look-up'!$J:$J,0))</f>
        <v>223</v>
      </c>
      <c r="W406" s="276"/>
      <c r="X406" s="276">
        <f t="shared" si="58"/>
        <v>0</v>
      </c>
      <c r="Y406" s="276"/>
      <c r="Z406" s="276"/>
      <c r="AB406" s="278" t="str">
        <f t="shared" si="59"/>
        <v>GoldShandong Zhaojin Gold &amp; Silver Refinery Co., Ltd.</v>
      </c>
    </row>
    <row r="407" spans="1:28" s="277" customFormat="1" ht="81">
      <c r="A407" s="216"/>
      <c r="B407" s="217" t="s">
        <v>1155</v>
      </c>
      <c r="C407" s="221" t="s">
        <v>1898</v>
      </c>
      <c r="D407" s="283" t="s">
        <v>15781</v>
      </c>
      <c r="E407" s="217" t="s">
        <v>1123</v>
      </c>
      <c r="F407" s="217" t="s">
        <v>14250</v>
      </c>
      <c r="G407" s="217" t="s">
        <v>14250</v>
      </c>
      <c r="H407" s="218">
        <f ca="1">IF(ISERROR($V407),"",OFFSET('Smelter Look-up'!$G$4,$V407-4,0))</f>
        <v>0</v>
      </c>
      <c r="I407" s="219">
        <f ca="1">IF(ISERROR($V407),"",OFFSET('Smelter Look-up'!$H$4,$V407-4,0))</f>
        <v>0</v>
      </c>
      <c r="J407" s="219">
        <f ca="1">IF(ISERROR($V407),"",OFFSET('Smelter Look-up'!$I$4,$V407-4,0))</f>
        <v>0</v>
      </c>
      <c r="K407" s="273"/>
      <c r="L407" s="273"/>
      <c r="M407" s="273"/>
      <c r="N407" s="273"/>
      <c r="O407" s="273"/>
      <c r="P407" s="220"/>
      <c r="Q407" s="274" t="s">
        <v>15525</v>
      </c>
      <c r="R407" s="217" t="str">
        <f ca="1">IF(ISERROR($V407),"",OFFSET('Smelter Look-up'!$C$4,$V407-4,0)&amp;"")</f>
        <v/>
      </c>
      <c r="S407" s="225" t="str">
        <f t="shared" ca="1" si="57"/>
        <v>CN</v>
      </c>
      <c r="T407" s="225" t="str">
        <f ca="1">IF(B407="","",IF(ISERROR(MATCH($J407,SorP!$B$1:$B$6230,0)),"",INDIRECT("'SorP'!$A$"&amp;MATCH($J407,SorP!$B$1:$B$6230,0))))</f>
        <v/>
      </c>
      <c r="U407" s="241"/>
      <c r="V407" s="275">
        <f>IF(C407="",NA(),MATCH($B407&amp;$C407,'Smelter Look-up'!$J:$J,0))</f>
        <v>353</v>
      </c>
      <c r="W407" s="276"/>
      <c r="X407" s="276">
        <f t="shared" si="58"/>
        <v>0</v>
      </c>
      <c r="Y407" s="276"/>
      <c r="Z407" s="276"/>
      <c r="AB407" s="278" t="str">
        <f t="shared" si="59"/>
        <v>TantalumSmelter not listed</v>
      </c>
    </row>
    <row r="408" spans="1:28" s="277" customFormat="1" ht="40.5">
      <c r="A408" s="216"/>
      <c r="B408" s="217" t="s">
        <v>1153</v>
      </c>
      <c r="C408" s="221" t="s">
        <v>1898</v>
      </c>
      <c r="D408" s="283" t="s">
        <v>15782</v>
      </c>
      <c r="E408" s="217" t="s">
        <v>1123</v>
      </c>
      <c r="F408" s="217" t="s">
        <v>14250</v>
      </c>
      <c r="G408" s="217" t="s">
        <v>14250</v>
      </c>
      <c r="H408" s="218">
        <f ca="1">IF(ISERROR($V408),"",OFFSET('Smelter Look-up'!$G$4,$V408-4,0))</f>
        <v>0</v>
      </c>
      <c r="I408" s="219">
        <f ca="1">IF(ISERROR($V408),"",OFFSET('Smelter Look-up'!$H$4,$V408-4,0))</f>
        <v>0</v>
      </c>
      <c r="J408" s="219">
        <f ca="1">IF(ISERROR($V408),"",OFFSET('Smelter Look-up'!$I$4,$V408-4,0))</f>
        <v>0</v>
      </c>
      <c r="K408" s="273"/>
      <c r="L408" s="273"/>
      <c r="M408" s="273"/>
      <c r="N408" s="273"/>
      <c r="O408" s="273"/>
      <c r="P408" s="220"/>
      <c r="Q408" s="274"/>
      <c r="R408" s="217" t="str">
        <f ca="1">IF(ISERROR($V408),"",OFFSET('Smelter Look-up'!$C$4,$V408-4,0)&amp;"")</f>
        <v/>
      </c>
      <c r="S408" s="225" t="str">
        <f t="shared" ca="1" si="57"/>
        <v>CN</v>
      </c>
      <c r="T408" s="225" t="str">
        <f ca="1">IF(B408="","",IF(ISERROR(MATCH($J408,SorP!$B$1:$B$6230,0)),"",INDIRECT("'SorP'!$A$"&amp;MATCH($J408,SorP!$B$1:$B$6230,0))))</f>
        <v/>
      </c>
      <c r="U408" s="241"/>
      <c r="V408" s="275">
        <f>IF(C408="",NA(),MATCH($B408&amp;$C408,'Smelter Look-up'!$J:$J,0))</f>
        <v>293</v>
      </c>
      <c r="W408" s="276"/>
      <c r="X408" s="276">
        <f t="shared" si="58"/>
        <v>0</v>
      </c>
      <c r="Y408" s="276"/>
      <c r="Z408" s="276"/>
      <c r="AB408" s="278" t="str">
        <f t="shared" si="59"/>
        <v>GoldSmelter not listed</v>
      </c>
    </row>
    <row r="409" spans="1:28" s="277" customFormat="1" ht="40.5">
      <c r="A409" s="216"/>
      <c r="B409" s="217" t="s">
        <v>1154</v>
      </c>
      <c r="C409" s="221" t="s">
        <v>1898</v>
      </c>
      <c r="D409" s="283" t="s">
        <v>15783</v>
      </c>
      <c r="E409" s="217" t="s">
        <v>1123</v>
      </c>
      <c r="F409" s="217" t="s">
        <v>14250</v>
      </c>
      <c r="G409" s="217" t="s">
        <v>14250</v>
      </c>
      <c r="H409" s="218">
        <f ca="1">IF(ISERROR($V409),"",OFFSET('Smelter Look-up'!$G$4,$V409-4,0))</f>
        <v>0</v>
      </c>
      <c r="I409" s="219">
        <f ca="1">IF(ISERROR($V409),"",OFFSET('Smelter Look-up'!$H$4,$V409-4,0))</f>
        <v>0</v>
      </c>
      <c r="J409" s="219">
        <f ca="1">IF(ISERROR($V409),"",OFFSET('Smelter Look-up'!$I$4,$V409-4,0))</f>
        <v>0</v>
      </c>
      <c r="K409" s="273"/>
      <c r="L409" s="273"/>
      <c r="M409" s="273"/>
      <c r="N409" s="273"/>
      <c r="O409" s="273"/>
      <c r="P409" s="220"/>
      <c r="Q409" s="274"/>
      <c r="R409" s="217" t="str">
        <f ca="1">IF(ISERROR($V409),"",OFFSET('Smelter Look-up'!$C$4,$V409-4,0)&amp;"")</f>
        <v/>
      </c>
      <c r="S409" s="225" t="str">
        <f t="shared" ca="1" si="57"/>
        <v>CN</v>
      </c>
      <c r="T409" s="225" t="str">
        <f ca="1">IF(B409="","",IF(ISERROR(MATCH($J409,SorP!$B$1:$B$6230,0)),"",INDIRECT("'SorP'!$A$"&amp;MATCH($J409,SorP!$B$1:$B$6230,0))))</f>
        <v/>
      </c>
      <c r="U409" s="241"/>
      <c r="V409" s="275">
        <f>IF(C409="",NA(),MATCH($B409&amp;$C409,'Smelter Look-up'!$J:$J,0))</f>
        <v>484</v>
      </c>
      <c r="W409" s="276"/>
      <c r="X409" s="276">
        <f t="shared" si="58"/>
        <v>0</v>
      </c>
      <c r="Y409" s="276"/>
      <c r="Z409" s="276"/>
      <c r="AB409" s="278" t="str">
        <f t="shared" si="59"/>
        <v>TinSmelter not listed</v>
      </c>
    </row>
    <row r="410" spans="1:28" s="277" customFormat="1" ht="40.5">
      <c r="A410" s="216"/>
      <c r="B410" s="217" t="s">
        <v>1153</v>
      </c>
      <c r="C410" s="221" t="s">
        <v>1898</v>
      </c>
      <c r="D410" s="283" t="s">
        <v>15784</v>
      </c>
      <c r="E410" s="217" t="s">
        <v>1123</v>
      </c>
      <c r="F410" s="217" t="s">
        <v>14250</v>
      </c>
      <c r="G410" s="217" t="s">
        <v>14250</v>
      </c>
      <c r="H410" s="218">
        <f ca="1">IF(ISERROR($V410),"",OFFSET('Smelter Look-up'!$G$4,$V410-4,0))</f>
        <v>0</v>
      </c>
      <c r="I410" s="219">
        <f ca="1">IF(ISERROR($V410),"",OFFSET('Smelter Look-up'!$H$4,$V410-4,0))</f>
        <v>0</v>
      </c>
      <c r="J410" s="219">
        <f ca="1">IF(ISERROR($V410),"",OFFSET('Smelter Look-up'!$I$4,$V410-4,0))</f>
        <v>0</v>
      </c>
      <c r="K410" s="273"/>
      <c r="L410" s="273"/>
      <c r="M410" s="273"/>
      <c r="N410" s="273"/>
      <c r="O410" s="273"/>
      <c r="P410" s="220"/>
      <c r="Q410" s="274"/>
      <c r="R410" s="217" t="str">
        <f ca="1">IF(ISERROR($V410),"",OFFSET('Smelter Look-up'!$C$4,$V410-4,0)&amp;"")</f>
        <v/>
      </c>
      <c r="S410" s="225" t="str">
        <f t="shared" ca="1" si="57"/>
        <v>CN</v>
      </c>
      <c r="T410" s="225" t="str">
        <f ca="1">IF(B410="","",IF(ISERROR(MATCH($J410,SorP!$B$1:$B$6230,0)),"",INDIRECT("'SorP'!$A$"&amp;MATCH($J410,SorP!$B$1:$B$6230,0))))</f>
        <v/>
      </c>
      <c r="U410" s="241"/>
      <c r="V410" s="275">
        <f>IF(C410="",NA(),MATCH($B410&amp;$C410,'Smelter Look-up'!$J:$J,0))</f>
        <v>293</v>
      </c>
      <c r="W410" s="276"/>
      <c r="X410" s="276">
        <f t="shared" si="58"/>
        <v>0</v>
      </c>
      <c r="Y410" s="276"/>
      <c r="Z410" s="276"/>
      <c r="AB410" s="278" t="str">
        <f t="shared" si="59"/>
        <v>GoldSmelter not listed</v>
      </c>
    </row>
    <row r="411" spans="1:28" s="277" customFormat="1" ht="54">
      <c r="A411" s="216"/>
      <c r="B411" s="217" t="s">
        <v>1153</v>
      </c>
      <c r="C411" s="221" t="s">
        <v>14220</v>
      </c>
      <c r="D411" s="283" t="s">
        <v>14220</v>
      </c>
      <c r="E411" s="217" t="s">
        <v>1129</v>
      </c>
      <c r="F411" s="217" t="s">
        <v>14239</v>
      </c>
      <c r="G411" s="217" t="s">
        <v>13577</v>
      </c>
      <c r="H411" s="218">
        <f ca="1">IF(ISERROR($V411),"",OFFSET('Smelter Look-up'!$G$4,$V411-4,0))</f>
        <v>0</v>
      </c>
      <c r="I411" s="219" t="str">
        <f ca="1">IF(ISERROR($V411),"",OFFSET('Smelter Look-up'!$H$4,$V411-4,0))</f>
        <v>Mumbai</v>
      </c>
      <c r="J411" s="219" t="str">
        <f ca="1">IF(ISERROR($V411),"",OFFSET('Smelter Look-up'!$I$4,$V411-4,0))</f>
        <v>Maharashtra</v>
      </c>
      <c r="K411" s="273"/>
      <c r="L411" s="273"/>
      <c r="M411" s="273"/>
      <c r="N411" s="273"/>
      <c r="O411" s="273"/>
      <c r="P411" s="220"/>
      <c r="Q411" s="274"/>
      <c r="R411" s="217" t="str">
        <f ca="1">IF(ISERROR($V411),"",OFFSET('Smelter Look-up'!$C$4,$V411-4,0)&amp;"")</f>
        <v>Shirpur Gold Refinery Ltd.</v>
      </c>
      <c r="S411" s="225" t="str">
        <f t="shared" ca="1" si="57"/>
        <v>IN</v>
      </c>
      <c r="T411" s="225" t="str">
        <f ca="1">IF(B411="","",IF(ISERROR(MATCH($J411,SorP!$B$1:$B$6230,0)),"",INDIRECT("'SorP'!$A$"&amp;MATCH($J411,SorP!$B$1:$B$6230,0))))</f>
        <v>IN-MH</v>
      </c>
      <c r="U411" s="241"/>
      <c r="V411" s="275">
        <f>IF(C411="",NA(),MATCH($B411&amp;$C411,'Smelter Look-up'!$J:$J,0))</f>
        <v>225</v>
      </c>
      <c r="W411" s="276"/>
      <c r="X411" s="276">
        <f t="shared" si="58"/>
        <v>0</v>
      </c>
      <c r="Y411" s="276"/>
      <c r="Z411" s="276"/>
      <c r="AB411" s="278" t="str">
        <f t="shared" si="59"/>
        <v>GoldShirpur Gold Refinery Ltd.</v>
      </c>
    </row>
    <row r="412" spans="1:28" s="277" customFormat="1" ht="40.5">
      <c r="A412" s="216"/>
      <c r="B412" s="217" t="s">
        <v>1154</v>
      </c>
      <c r="C412" s="221" t="s">
        <v>1898</v>
      </c>
      <c r="D412" s="283" t="s">
        <v>15785</v>
      </c>
      <c r="E412" s="217" t="s">
        <v>1123</v>
      </c>
      <c r="F412" s="217" t="s">
        <v>14250</v>
      </c>
      <c r="G412" s="217" t="s">
        <v>14250</v>
      </c>
      <c r="H412" s="218">
        <f ca="1">IF(ISERROR($V412),"",OFFSET('Smelter Look-up'!$G$4,$V412-4,0))</f>
        <v>0</v>
      </c>
      <c r="I412" s="219">
        <f ca="1">IF(ISERROR($V412),"",OFFSET('Smelter Look-up'!$H$4,$V412-4,0))</f>
        <v>0</v>
      </c>
      <c r="J412" s="219">
        <f ca="1">IF(ISERROR($V412),"",OFFSET('Smelter Look-up'!$I$4,$V412-4,0))</f>
        <v>0</v>
      </c>
      <c r="K412" s="273"/>
      <c r="L412" s="273"/>
      <c r="M412" s="273"/>
      <c r="N412" s="273"/>
      <c r="O412" s="273"/>
      <c r="P412" s="220"/>
      <c r="Q412" s="274"/>
      <c r="R412" s="217" t="str">
        <f ca="1">IF(ISERROR($V412),"",OFFSET('Smelter Look-up'!$C$4,$V412-4,0)&amp;"")</f>
        <v/>
      </c>
      <c r="S412" s="225" t="str">
        <f t="shared" ca="1" si="57"/>
        <v>CN</v>
      </c>
      <c r="T412" s="225" t="str">
        <f ca="1">IF(B412="","",IF(ISERROR(MATCH($J412,SorP!$B$1:$B$6230,0)),"",INDIRECT("'SorP'!$A$"&amp;MATCH($J412,SorP!$B$1:$B$6230,0))))</f>
        <v/>
      </c>
      <c r="U412" s="241"/>
      <c r="V412" s="275">
        <f>IF(C412="",NA(),MATCH($B412&amp;$C412,'Smelter Look-up'!$J:$J,0))</f>
        <v>484</v>
      </c>
      <c r="W412" s="276"/>
      <c r="X412" s="276">
        <f t="shared" si="58"/>
        <v>0</v>
      </c>
      <c r="Y412" s="276"/>
      <c r="Z412" s="276"/>
      <c r="AB412" s="278" t="str">
        <f t="shared" si="59"/>
        <v>TinSmelter not listed</v>
      </c>
    </row>
    <row r="413" spans="1:28" s="277" customFormat="1" ht="81">
      <c r="A413" s="216"/>
      <c r="B413" s="217" t="s">
        <v>1153</v>
      </c>
      <c r="C413" s="221" t="s">
        <v>2266</v>
      </c>
      <c r="D413" s="283" t="s">
        <v>2266</v>
      </c>
      <c r="E413" s="217" t="s">
        <v>1123</v>
      </c>
      <c r="F413" s="217" t="s">
        <v>1415</v>
      </c>
      <c r="G413" s="217" t="s">
        <v>15513</v>
      </c>
      <c r="H413" s="218">
        <f ca="1">IF(ISERROR($V413),"",OFFSET('Smelter Look-up'!$G$4,$V413-4,0))</f>
        <v>0</v>
      </c>
      <c r="I413" s="219" t="str">
        <f ca="1">IF(ISERROR($V413),"",OFFSET('Smelter Look-up'!$H$4,$V413-4,0))</f>
        <v>Chengdu</v>
      </c>
      <c r="J413" s="219" t="str">
        <f ca="1">IF(ISERROR($V413),"",OFFSET('Smelter Look-up'!$I$4,$V413-4,0))</f>
        <v>Sichuan Sheng</v>
      </c>
      <c r="K413" s="273"/>
      <c r="L413" s="273"/>
      <c r="M413" s="273"/>
      <c r="N413" s="273"/>
      <c r="O413" s="273"/>
      <c r="P413" s="220"/>
      <c r="Q413" s="274"/>
      <c r="R413" s="217" t="str">
        <f ca="1">IF(ISERROR($V413),"",OFFSET('Smelter Look-up'!$C$4,$V413-4,0)&amp;"")</f>
        <v>Sichuan Tianze Precious Metals Co., Ltd.</v>
      </c>
      <c r="S413" s="225" t="str">
        <f t="shared" ca="1" si="57"/>
        <v>CN</v>
      </c>
      <c r="T413" s="225" t="str">
        <f ca="1">IF(B413="","",IF(ISERROR(MATCH($J413,SorP!$B$1:$B$6230,0)),"",INDIRECT("'SorP'!$A$"&amp;MATCH($J413,SorP!$B$1:$B$6230,0))))</f>
        <v>CN-SC</v>
      </c>
      <c r="U413" s="241"/>
      <c r="V413" s="275">
        <f>IF(C413="",NA(),MATCH($B413&amp;$C413,'Smelter Look-up'!$J:$J,0))</f>
        <v>228</v>
      </c>
      <c r="W413" s="276"/>
      <c r="X413" s="276">
        <f t="shared" si="58"/>
        <v>0</v>
      </c>
      <c r="Y413" s="276"/>
      <c r="Z413" s="276"/>
      <c r="AB413" s="278" t="str">
        <f t="shared" si="59"/>
        <v>GoldSichuan Tianze Precious Metals Co., Ltd.</v>
      </c>
    </row>
    <row r="414" spans="1:28" s="277" customFormat="1" ht="40.5">
      <c r="A414" s="216"/>
      <c r="B414" s="217" t="s">
        <v>1154</v>
      </c>
      <c r="C414" s="221" t="s">
        <v>1898</v>
      </c>
      <c r="D414" s="283" t="s">
        <v>15786</v>
      </c>
      <c r="E414" s="217" t="s">
        <v>1123</v>
      </c>
      <c r="F414" s="217" t="s">
        <v>14250</v>
      </c>
      <c r="G414" s="217" t="s">
        <v>14250</v>
      </c>
      <c r="H414" s="218">
        <f ca="1">IF(ISERROR($V414),"",OFFSET('Smelter Look-up'!$G$4,$V414-4,0))</f>
        <v>0</v>
      </c>
      <c r="I414" s="219">
        <f ca="1">IF(ISERROR($V414),"",OFFSET('Smelter Look-up'!$H$4,$V414-4,0))</f>
        <v>0</v>
      </c>
      <c r="J414" s="219">
        <f ca="1">IF(ISERROR($V414),"",OFFSET('Smelter Look-up'!$I$4,$V414-4,0))</f>
        <v>0</v>
      </c>
      <c r="K414" s="273"/>
      <c r="L414" s="273"/>
      <c r="M414" s="273"/>
      <c r="N414" s="273"/>
      <c r="O414" s="273"/>
      <c r="P414" s="220"/>
      <c r="Q414" s="274"/>
      <c r="R414" s="217" t="str">
        <f ca="1">IF(ISERROR($V414),"",OFFSET('Smelter Look-up'!$C$4,$V414-4,0)&amp;"")</f>
        <v/>
      </c>
      <c r="S414" s="225" t="str">
        <f t="shared" ca="1" si="57"/>
        <v>CN</v>
      </c>
      <c r="T414" s="225" t="str">
        <f ca="1">IF(B414="","",IF(ISERROR(MATCH($J414,SorP!$B$1:$B$6230,0)),"",INDIRECT("'SorP'!$A$"&amp;MATCH($J414,SorP!$B$1:$B$6230,0))))</f>
        <v/>
      </c>
      <c r="U414" s="241"/>
      <c r="V414" s="275">
        <f>IF(C414="",NA(),MATCH($B414&amp;$C414,'Smelter Look-up'!$J:$J,0))</f>
        <v>484</v>
      </c>
      <c r="W414" s="276"/>
      <c r="X414" s="276">
        <f t="shared" si="58"/>
        <v>0</v>
      </c>
      <c r="Y414" s="276"/>
      <c r="Z414" s="276"/>
      <c r="AB414" s="278" t="str">
        <f t="shared" si="59"/>
        <v>TinSmelter not listed</v>
      </c>
    </row>
    <row r="415" spans="1:28" s="277" customFormat="1" ht="67.5">
      <c r="A415" s="216"/>
      <c r="B415" s="217" t="s">
        <v>1153</v>
      </c>
      <c r="C415" s="221" t="s">
        <v>1416</v>
      </c>
      <c r="D415" s="283" t="s">
        <v>1416</v>
      </c>
      <c r="E415" s="217" t="s">
        <v>2575</v>
      </c>
      <c r="F415" s="217" t="s">
        <v>1417</v>
      </c>
      <c r="G415" s="217" t="s">
        <v>15513</v>
      </c>
      <c r="H415" s="218">
        <f ca="1">IF(ISERROR($V415),"",OFFSET('Smelter Look-up'!$G$4,$V415-4,0))</f>
        <v>0</v>
      </c>
      <c r="I415" s="219" t="str">
        <f ca="1">IF(ISERROR($V415),"",OFFSET('Smelter Look-up'!$H$4,$V415-4,0))</f>
        <v>Dayuan</v>
      </c>
      <c r="J415" s="219" t="str">
        <f ca="1">IF(ISERROR($V415),"",OFFSET('Smelter Look-up'!$I$4,$V415-4,0))</f>
        <v>Taoyuan</v>
      </c>
      <c r="K415" s="273"/>
      <c r="L415" s="273"/>
      <c r="M415" s="273"/>
      <c r="N415" s="273"/>
      <c r="O415" s="273"/>
      <c r="P415" s="220"/>
      <c r="Q415" s="274"/>
      <c r="R415" s="217" t="str">
        <f ca="1">IF(ISERROR($V415),"",OFFSET('Smelter Look-up'!$C$4,$V415-4,0)&amp;"")</f>
        <v>Singway Technology Co., Ltd.</v>
      </c>
      <c r="S415" s="225" t="str">
        <f t="shared" ca="1" si="57"/>
        <v>TW</v>
      </c>
      <c r="T415" s="225" t="str">
        <f ca="1">IF(B415="","",IF(ISERROR(MATCH($J415,SorP!$B$1:$B$6230,0)),"",INDIRECT("'SorP'!$A$"&amp;MATCH($J415,SorP!$B$1:$B$6230,0))))</f>
        <v>TW-TAO</v>
      </c>
      <c r="U415" s="241"/>
      <c r="V415" s="275">
        <f>IF(C415="",NA(),MATCH($B415&amp;$C415,'Smelter Look-up'!$J:$J,0))</f>
        <v>230</v>
      </c>
      <c r="W415" s="276"/>
      <c r="X415" s="276">
        <f t="shared" si="58"/>
        <v>0</v>
      </c>
      <c r="Y415" s="276"/>
      <c r="Z415" s="276"/>
      <c r="AB415" s="278" t="str">
        <f t="shared" si="59"/>
        <v>GoldSingway Technology Co., Ltd.</v>
      </c>
    </row>
    <row r="416" spans="1:28" s="277" customFormat="1" ht="40.5">
      <c r="A416" s="216"/>
      <c r="B416" s="217" t="s">
        <v>1153</v>
      </c>
      <c r="C416" s="221" t="s">
        <v>1898</v>
      </c>
      <c r="D416" s="283" t="s">
        <v>15787</v>
      </c>
      <c r="E416" s="217" t="s">
        <v>1123</v>
      </c>
      <c r="F416" s="217" t="s">
        <v>14250</v>
      </c>
      <c r="G416" s="217" t="s">
        <v>14250</v>
      </c>
      <c r="H416" s="218">
        <f ca="1">IF(ISERROR($V416),"",OFFSET('Smelter Look-up'!$G$4,$V416-4,0))</f>
        <v>0</v>
      </c>
      <c r="I416" s="219">
        <f ca="1">IF(ISERROR($V416),"",OFFSET('Smelter Look-up'!$H$4,$V416-4,0))</f>
        <v>0</v>
      </c>
      <c r="J416" s="219">
        <f ca="1">IF(ISERROR($V416),"",OFFSET('Smelter Look-up'!$I$4,$V416-4,0))</f>
        <v>0</v>
      </c>
      <c r="K416" s="273"/>
      <c r="L416" s="273"/>
      <c r="M416" s="273"/>
      <c r="N416" s="273"/>
      <c r="O416" s="273"/>
      <c r="P416" s="220"/>
      <c r="Q416" s="274"/>
      <c r="R416" s="217" t="str">
        <f ca="1">IF(ISERROR($V416),"",OFFSET('Smelter Look-up'!$C$4,$V416-4,0)&amp;"")</f>
        <v/>
      </c>
      <c r="S416" s="225" t="str">
        <f t="shared" ca="1" si="57"/>
        <v>CN</v>
      </c>
      <c r="T416" s="225" t="str">
        <f ca="1">IF(B416="","",IF(ISERROR(MATCH($J416,SorP!$B$1:$B$6230,0)),"",INDIRECT("'SorP'!$A$"&amp;MATCH($J416,SorP!$B$1:$B$6230,0))))</f>
        <v/>
      </c>
      <c r="U416" s="241"/>
      <c r="V416" s="275">
        <f>IF(C416="",NA(),MATCH($B416&amp;$C416,'Smelter Look-up'!$J:$J,0))</f>
        <v>293</v>
      </c>
      <c r="W416" s="276"/>
      <c r="X416" s="276">
        <f t="shared" si="58"/>
        <v>0</v>
      </c>
      <c r="Y416" s="276"/>
      <c r="Z416" s="276"/>
      <c r="AB416" s="278" t="str">
        <f t="shared" si="59"/>
        <v>GoldSmelter not listed</v>
      </c>
    </row>
    <row r="417" spans="1:28" s="277" customFormat="1" ht="40.5">
      <c r="A417" s="216"/>
      <c r="B417" s="217" t="s">
        <v>1153</v>
      </c>
      <c r="C417" s="221" t="s">
        <v>1898</v>
      </c>
      <c r="D417" s="283" t="s">
        <v>15788</v>
      </c>
      <c r="E417" s="217" t="s">
        <v>2576</v>
      </c>
      <c r="F417" s="217" t="s">
        <v>15789</v>
      </c>
      <c r="G417" s="217" t="s">
        <v>15513</v>
      </c>
      <c r="H417" s="218">
        <f ca="1">IF(ISERROR($V417),"",OFFSET('Smelter Look-up'!$G$4,$V417-4,0))</f>
        <v>0</v>
      </c>
      <c r="I417" s="219">
        <f ca="1">IF(ISERROR($V417),"",OFFSET('Smelter Look-up'!$H$4,$V417-4,0))</f>
        <v>0</v>
      </c>
      <c r="J417" s="219">
        <f ca="1">IF(ISERROR($V417),"",OFFSET('Smelter Look-up'!$I$4,$V417-4,0))</f>
        <v>0</v>
      </c>
      <c r="K417" s="273"/>
      <c r="L417" s="273"/>
      <c r="M417" s="273"/>
      <c r="N417" s="273"/>
      <c r="O417" s="273"/>
      <c r="P417" s="220"/>
      <c r="Q417" s="274"/>
      <c r="R417" s="217" t="str">
        <f ca="1">IF(ISERROR($V417),"",OFFSET('Smelter Look-up'!$C$4,$V417-4,0)&amp;"")</f>
        <v/>
      </c>
      <c r="S417" s="225" t="str">
        <f t="shared" ca="1" si="57"/>
        <v>US</v>
      </c>
      <c r="T417" s="225" t="str">
        <f ca="1">IF(B417="","",IF(ISERROR(MATCH($J417,SorP!$B$1:$B$6230,0)),"",INDIRECT("'SorP'!$A$"&amp;MATCH($J417,SorP!$B$1:$B$6230,0))))</f>
        <v/>
      </c>
      <c r="U417" s="241"/>
      <c r="V417" s="275">
        <f>IF(C417="",NA(),MATCH($B417&amp;$C417,'Smelter Look-up'!$J:$J,0))</f>
        <v>293</v>
      </c>
      <c r="W417" s="276"/>
      <c r="X417" s="276">
        <f t="shared" si="58"/>
        <v>0</v>
      </c>
      <c r="Y417" s="276"/>
      <c r="Z417" s="276"/>
      <c r="AB417" s="278" t="str">
        <f t="shared" si="59"/>
        <v>GoldSmelter not listed</v>
      </c>
    </row>
    <row r="418" spans="1:28" s="277" customFormat="1" ht="121.5">
      <c r="A418" s="216"/>
      <c r="B418" s="217" t="s">
        <v>1153</v>
      </c>
      <c r="C418" s="221" t="s">
        <v>937</v>
      </c>
      <c r="D418" s="283" t="s">
        <v>937</v>
      </c>
      <c r="E418" s="217" t="s">
        <v>906</v>
      </c>
      <c r="F418" s="217" t="s">
        <v>745</v>
      </c>
      <c r="G418" s="217" t="s">
        <v>15513</v>
      </c>
      <c r="H418" s="218">
        <f ca="1">IF(ISERROR($V418),"",OFFSET('Smelter Look-up'!$G$4,$V418-4,0))</f>
        <v>0</v>
      </c>
      <c r="I418" s="219" t="str">
        <f ca="1">IF(ISERROR($V418),"",OFFSET('Smelter Look-up'!$H$4,$V418-4,0))</f>
        <v>Shyolkovo</v>
      </c>
      <c r="J418" s="219" t="str">
        <f ca="1">IF(ISERROR($V418),"",OFFSET('Smelter Look-up'!$I$4,$V418-4,0))</f>
        <v>Moskovskaja oblast'</v>
      </c>
      <c r="K418" s="273"/>
      <c r="L418" s="273"/>
      <c r="M418" s="273"/>
      <c r="N418" s="273"/>
      <c r="O418" s="273"/>
      <c r="P418" s="220"/>
      <c r="Q418" s="274"/>
      <c r="R418" s="217" t="str">
        <f ca="1">IF(ISERROR($V418),"",OFFSET('Smelter Look-up'!$C$4,$V418-4,0)&amp;"")</f>
        <v>SOE Shyolkovsky Factory of Secondary Precious Metals</v>
      </c>
      <c r="S418" s="225" t="str">
        <f t="shared" ca="1" si="57"/>
        <v>RU</v>
      </c>
      <c r="T418" s="225" t="str">
        <f ca="1">IF(B418="","",IF(ISERROR(MATCH($J418,SorP!$B$1:$B$6230,0)),"",INDIRECT("'SorP'!$A$"&amp;MATCH($J418,SorP!$B$1:$B$6230,0))))</f>
        <v>RU-MOS</v>
      </c>
      <c r="U418" s="241"/>
      <c r="V418" s="275">
        <f>IF(C418="",NA(),MATCH($B418&amp;$C418,'Smelter Look-up'!$J:$J,0))</f>
        <v>232</v>
      </c>
      <c r="W418" s="276"/>
      <c r="X418" s="276">
        <f t="shared" si="58"/>
        <v>0</v>
      </c>
      <c r="Y418" s="276"/>
      <c r="Z418" s="276"/>
      <c r="AB418" s="278" t="str">
        <f t="shared" si="59"/>
        <v>GoldSOE Shyolkovsky Factory of Secondary Precious Metals</v>
      </c>
    </row>
    <row r="419" spans="1:28" s="277" customFormat="1" ht="40.5">
      <c r="A419" s="216"/>
      <c r="B419" s="217" t="s">
        <v>1154</v>
      </c>
      <c r="C419" s="221" t="s">
        <v>2267</v>
      </c>
      <c r="D419" s="283" t="s">
        <v>2267</v>
      </c>
      <c r="E419" s="217" t="s">
        <v>1119</v>
      </c>
      <c r="F419" s="217" t="s">
        <v>805</v>
      </c>
      <c r="G419" s="217" t="s">
        <v>15513</v>
      </c>
      <c r="H419" s="218">
        <f ca="1">IF(ISERROR($V419),"",OFFSET('Smelter Look-up'!$G$4,$V419-4,0))</f>
        <v>0</v>
      </c>
      <c r="I419" s="219" t="str">
        <f ca="1">IF(ISERROR($V419),"",OFFSET('Smelter Look-up'!$H$4,$V419-4,0))</f>
        <v>Bebedouro</v>
      </c>
      <c r="J419" s="219" t="str">
        <f ca="1">IF(ISERROR($V419),"",OFFSET('Smelter Look-up'!$I$4,$V419-4,0))</f>
        <v>São Paulo</v>
      </c>
      <c r="K419" s="273"/>
      <c r="L419" s="273"/>
      <c r="M419" s="273"/>
      <c r="N419" s="273"/>
      <c r="O419" s="273"/>
      <c r="P419" s="220"/>
      <c r="Q419" s="274"/>
      <c r="R419" s="217" t="str">
        <f ca="1">IF(ISERROR($V419),"",OFFSET('Smelter Look-up'!$C$4,$V419-4,0)&amp;"")</f>
        <v>Soft Metais Ltda.</v>
      </c>
      <c r="S419" s="225" t="str">
        <f t="shared" ca="1" si="57"/>
        <v>BR</v>
      </c>
      <c r="T419" s="225" t="str">
        <f ca="1">IF(B419="","",IF(ISERROR(MATCH($J419,SorP!$B$1:$B$6230,0)),"",INDIRECT("'SorP'!$A$"&amp;MATCH($J419,SorP!$B$1:$B$6230,0))))</f>
        <v>BR-SP</v>
      </c>
      <c r="U419" s="241"/>
      <c r="V419" s="275">
        <f>IF(C419="",NA(),MATCH($B419&amp;$C419,'Smelter Look-up'!$J:$J,0))</f>
        <v>453</v>
      </c>
      <c r="W419" s="276"/>
      <c r="X419" s="276">
        <f t="shared" si="58"/>
        <v>0</v>
      </c>
      <c r="Y419" s="276"/>
      <c r="Z419" s="276"/>
      <c r="AB419" s="278" t="str">
        <f t="shared" si="59"/>
        <v>TinSoft Metais Ltda.</v>
      </c>
    </row>
    <row r="420" spans="1:28" s="277" customFormat="1" ht="81">
      <c r="A420" s="216"/>
      <c r="B420" s="217" t="s">
        <v>1153</v>
      </c>
      <c r="C420" s="221" t="s">
        <v>938</v>
      </c>
      <c r="D420" s="283" t="s">
        <v>938</v>
      </c>
      <c r="E420" s="217" t="s">
        <v>2575</v>
      </c>
      <c r="F420" s="217" t="s">
        <v>746</v>
      </c>
      <c r="G420" s="217" t="s">
        <v>15513</v>
      </c>
      <c r="H420" s="218">
        <f ca="1">IF(ISERROR($V420),"",OFFSET('Smelter Look-up'!$G$4,$V420-4,0))</f>
        <v>0</v>
      </c>
      <c r="I420" s="219" t="str">
        <f ca="1">IF(ISERROR($V420),"",OFFSET('Smelter Look-up'!$H$4,$V420-4,0))</f>
        <v>Tainan City</v>
      </c>
      <c r="J420" s="219" t="str">
        <f ca="1">IF(ISERROR($V420),"",OFFSET('Smelter Look-up'!$I$4,$V420-4,0))</f>
        <v>Tainan</v>
      </c>
      <c r="K420" s="273"/>
      <c r="L420" s="273"/>
      <c r="M420" s="273"/>
      <c r="N420" s="273"/>
      <c r="O420" s="273"/>
      <c r="P420" s="220"/>
      <c r="Q420" s="274"/>
      <c r="R420" s="217" t="str">
        <f ca="1">IF(ISERROR($V420),"",OFFSET('Smelter Look-up'!$C$4,$V420-4,0)&amp;"")</f>
        <v>Solar Applied Materials Technology Corp.</v>
      </c>
      <c r="S420" s="225" t="str">
        <f t="shared" ca="1" si="57"/>
        <v>TW</v>
      </c>
      <c r="T420" s="225" t="str">
        <f ca="1">IF(B420="","",IF(ISERROR(MATCH($J420,SorP!$B$1:$B$6230,0)),"",INDIRECT("'SorP'!$A$"&amp;MATCH($J420,SorP!$B$1:$B$6230,0))))</f>
        <v>TW-TNN</v>
      </c>
      <c r="U420" s="241"/>
      <c r="V420" s="275">
        <f>IF(C420="",NA(),MATCH($B420&amp;$C420,'Smelter Look-up'!$J:$J,0))</f>
        <v>233</v>
      </c>
      <c r="W420" s="276"/>
      <c r="X420" s="276">
        <f t="shared" si="58"/>
        <v>0</v>
      </c>
      <c r="Y420" s="276"/>
      <c r="Z420" s="276"/>
      <c r="AB420" s="278" t="str">
        <f t="shared" si="59"/>
        <v>GoldSolar Applied Materials Technology Corp.</v>
      </c>
    </row>
    <row r="421" spans="1:28" s="277" customFormat="1" ht="40.5">
      <c r="A421" s="216"/>
      <c r="B421" s="217" t="s">
        <v>1154</v>
      </c>
      <c r="C421" s="221" t="s">
        <v>1898</v>
      </c>
      <c r="D421" s="283" t="s">
        <v>15790</v>
      </c>
      <c r="E421" s="217" t="s">
        <v>1123</v>
      </c>
      <c r="F421" s="217" t="s">
        <v>14250</v>
      </c>
      <c r="G421" s="217" t="s">
        <v>14250</v>
      </c>
      <c r="H421" s="218">
        <f ca="1">IF(ISERROR($V421),"",OFFSET('Smelter Look-up'!$G$4,$V421-4,0))</f>
        <v>0</v>
      </c>
      <c r="I421" s="219">
        <f ca="1">IF(ISERROR($V421),"",OFFSET('Smelter Look-up'!$H$4,$V421-4,0))</f>
        <v>0</v>
      </c>
      <c r="J421" s="219">
        <f ca="1">IF(ISERROR($V421),"",OFFSET('Smelter Look-up'!$I$4,$V421-4,0))</f>
        <v>0</v>
      </c>
      <c r="K421" s="273"/>
      <c r="L421" s="273"/>
      <c r="M421" s="273"/>
      <c r="N421" s="273"/>
      <c r="O421" s="273"/>
      <c r="P421" s="220"/>
      <c r="Q421" s="274"/>
      <c r="R421" s="217" t="str">
        <f ca="1">IF(ISERROR($V421),"",OFFSET('Smelter Look-up'!$C$4,$V421-4,0)&amp;"")</f>
        <v/>
      </c>
      <c r="S421" s="225" t="str">
        <f t="shared" ca="1" si="57"/>
        <v>CN</v>
      </c>
      <c r="T421" s="225" t="str">
        <f ca="1">IF(B421="","",IF(ISERROR(MATCH($J421,SorP!$B$1:$B$6230,0)),"",INDIRECT("'SorP'!$A$"&amp;MATCH($J421,SorP!$B$1:$B$6230,0))))</f>
        <v/>
      </c>
      <c r="U421" s="241"/>
      <c r="V421" s="275">
        <f>IF(C421="",NA(),MATCH($B421&amp;$C421,'Smelter Look-up'!$J:$J,0))</f>
        <v>484</v>
      </c>
      <c r="W421" s="276"/>
      <c r="X421" s="276">
        <f t="shared" si="58"/>
        <v>0</v>
      </c>
      <c r="Y421" s="276"/>
      <c r="Z421" s="276"/>
      <c r="AB421" s="278" t="str">
        <f t="shared" si="59"/>
        <v>TinSmelter not listed</v>
      </c>
    </row>
    <row r="422" spans="1:28" s="277" customFormat="1" ht="94.5">
      <c r="A422" s="216"/>
      <c r="B422" s="217" t="s">
        <v>1155</v>
      </c>
      <c r="C422" s="221" t="s">
        <v>1401</v>
      </c>
      <c r="D422" s="283" t="s">
        <v>1401</v>
      </c>
      <c r="E422" s="217" t="s">
        <v>906</v>
      </c>
      <c r="F422" s="217" t="s">
        <v>779</v>
      </c>
      <c r="G422" s="217" t="s">
        <v>15513</v>
      </c>
      <c r="H422" s="218">
        <f ca="1">IF(ISERROR($V422),"",OFFSET('Smelter Look-up'!$G$4,$V422-4,0))</f>
        <v>0</v>
      </c>
      <c r="I422" s="219" t="str">
        <f ca="1">IF(ISERROR($V422),"",OFFSET('Smelter Look-up'!$H$4,$V422-4,0))</f>
        <v>Solikamsk</v>
      </c>
      <c r="J422" s="219" t="str">
        <f ca="1">IF(ISERROR($V422),"",OFFSET('Smelter Look-up'!$I$4,$V422-4,0))</f>
        <v>Permskiy kray</v>
      </c>
      <c r="K422" s="273"/>
      <c r="L422" s="273"/>
      <c r="M422" s="273"/>
      <c r="N422" s="273"/>
      <c r="O422" s="273"/>
      <c r="P422" s="220"/>
      <c r="Q422" s="274"/>
      <c r="R422" s="217" t="str">
        <f ca="1">IF(ISERROR($V422),"",OFFSET('Smelter Look-up'!$C$4,$V422-4,0)&amp;"")</f>
        <v>Solikamsk Magnesium Works OAO</v>
      </c>
      <c r="S422" s="225" t="str">
        <f t="shared" ref="S422:S452" ca="1" si="60">IF(B422="","",IF(ISERROR(MATCH($E422,CL,0)),"Unknown",INDIRECT("'C'!$A$"&amp;MATCH($E422,CL,0)+1)))</f>
        <v>RU</v>
      </c>
      <c r="T422" s="225" t="str">
        <f ca="1">IF(B422="","",IF(ISERROR(MATCH($J422,SorP!$B$1:$B$6230,0)),"",INDIRECT("'SorP'!$A$"&amp;MATCH($J422,SorP!$B$1:$B$6230,0))))</f>
        <v>RU-PER</v>
      </c>
      <c r="U422" s="241"/>
      <c r="V422" s="275">
        <f>IF(C422="",NA(),MATCH($B422&amp;$C422,'Smelter Look-up'!$J:$J,0))</f>
        <v>343</v>
      </c>
      <c r="W422" s="276"/>
      <c r="X422" s="276">
        <f t="shared" ref="X422:X452" si="61">IF(AND(C422="Smelter not listed",OR(LEN(D422)=0,LEN(E422)=0)),1,0)</f>
        <v>0</v>
      </c>
      <c r="Y422" s="276"/>
      <c r="Z422" s="276"/>
      <c r="AB422" s="278" t="str">
        <f t="shared" ref="AB422:AB452" si="62">B422&amp;C422</f>
        <v>TantalumSolikamsk Magnesium Works OAO</v>
      </c>
    </row>
    <row r="423" spans="1:28" s="277" customFormat="1" ht="148.5">
      <c r="A423" s="216"/>
      <c r="B423" s="217" t="s">
        <v>1156</v>
      </c>
      <c r="C423" s="221" t="s">
        <v>2393</v>
      </c>
      <c r="D423" s="283" t="s">
        <v>2393</v>
      </c>
      <c r="E423" s="217" t="s">
        <v>1123</v>
      </c>
      <c r="F423" s="217" t="s">
        <v>2394</v>
      </c>
      <c r="G423" s="217" t="s">
        <v>15513</v>
      </c>
      <c r="H423" s="218">
        <f ca="1">IF(ISERROR($V423),"",OFFSET('Smelter Look-up'!$G$4,$V423-4,0))</f>
        <v>0</v>
      </c>
      <c r="I423" s="219" t="str">
        <f ca="1">IF(ISERROR($V423),"",OFFSET('Smelter Look-up'!$H$4,$V423-4,0))</f>
        <v>Hengyang</v>
      </c>
      <c r="J423" s="219" t="str">
        <f ca="1">IF(ISERROR($V423),"",OFFSET('Smelter Look-up'!$I$4,$V423-4,0))</f>
        <v>Hunan Sheng</v>
      </c>
      <c r="K423" s="273"/>
      <c r="L423" s="273"/>
      <c r="M423" s="273"/>
      <c r="N423" s="273"/>
      <c r="O423" s="273"/>
      <c r="P423" s="220"/>
      <c r="Q423" s="274"/>
      <c r="R423" s="217" t="str">
        <f ca="1">IF(ISERROR($V423),"",OFFSET('Smelter Look-up'!$C$4,$V423-4,0)&amp;"")</f>
        <v>South-East Nonferrous Metal Company Limited of Hengyang City</v>
      </c>
      <c r="S423" s="225" t="str">
        <f t="shared" ca="1" si="60"/>
        <v>CN</v>
      </c>
      <c r="T423" s="225" t="str">
        <f ca="1">IF(B423="","",IF(ISERROR(MATCH($J423,SorP!$B$1:$B$6230,0)),"",INDIRECT("'SorP'!$A$"&amp;MATCH($J423,SorP!$B$1:$B$6230,0))))</f>
        <v>CN-HN</v>
      </c>
      <c r="U423" s="241"/>
      <c r="V423" s="275">
        <f>IF(C423="",NA(),MATCH($B423&amp;$C423,'Smelter Look-up'!$J:$J,0))</f>
        <v>575</v>
      </c>
      <c r="W423" s="276"/>
      <c r="X423" s="276">
        <f t="shared" si="61"/>
        <v>0</v>
      </c>
      <c r="Y423" s="276"/>
      <c r="Z423" s="276"/>
      <c r="AB423" s="278" t="str">
        <f t="shared" si="62"/>
        <v>TungstenSouth-East Nonferrous Metal Company Limited of Hengyang City</v>
      </c>
    </row>
    <row r="424" spans="1:28" s="277" customFormat="1" ht="40.5">
      <c r="A424" s="216"/>
      <c r="B424" s="217" t="s">
        <v>1153</v>
      </c>
      <c r="C424" s="221" t="s">
        <v>14143</v>
      </c>
      <c r="D424" s="283" t="s">
        <v>14143</v>
      </c>
      <c r="E424" s="217" t="s">
        <v>1129</v>
      </c>
      <c r="F424" s="217" t="s">
        <v>14144</v>
      </c>
      <c r="G424" s="217" t="s">
        <v>14250</v>
      </c>
      <c r="H424" s="218">
        <f ca="1">IF(ISERROR($V424),"",OFFSET('Smelter Look-up'!$G$4,$V424-4,0))</f>
        <v>0</v>
      </c>
      <c r="I424" s="219">
        <f ca="1">IF(ISERROR($V424),"",OFFSET('Smelter Look-up'!$H$4,$V424-4,0))</f>
        <v>0</v>
      </c>
      <c r="J424" s="219" t="str">
        <f ca="1">IF(ISERROR($V424),"",OFFSET('Smelter Look-up'!$I$4,$V424-4,0))</f>
        <v>Gujarat</v>
      </c>
      <c r="K424" s="273"/>
      <c r="L424" s="273"/>
      <c r="M424" s="273"/>
      <c r="N424" s="273"/>
      <c r="O424" s="273"/>
      <c r="P424" s="220"/>
      <c r="Q424" s="274"/>
      <c r="R424" s="217" t="str">
        <f ca="1">IF(ISERROR($V424),"",OFFSET('Smelter Look-up'!$C$4,$V424-4,0)&amp;"")</f>
        <v>Sovereign Metals</v>
      </c>
      <c r="S424" s="225" t="str">
        <f t="shared" ca="1" si="60"/>
        <v>IN</v>
      </c>
      <c r="T424" s="225" t="str">
        <f ca="1">IF(B424="","",IF(ISERROR(MATCH($J424,SorP!$B$1:$B$6230,0)),"",INDIRECT("'SorP'!$A$"&amp;MATCH($J424,SorP!$B$1:$B$6230,0))))</f>
        <v>IN-GJ</v>
      </c>
      <c r="U424" s="241"/>
      <c r="V424" s="275">
        <f>IF(C424="",NA(),MATCH($B424&amp;$C424,'Smelter Look-up'!$J:$J,0))</f>
        <v>236</v>
      </c>
      <c r="W424" s="276"/>
      <c r="X424" s="276">
        <f t="shared" si="61"/>
        <v>0</v>
      </c>
      <c r="Y424" s="276"/>
      <c r="Z424" s="276"/>
      <c r="AB424" s="278" t="str">
        <f t="shared" si="62"/>
        <v>GoldSovereign Metals</v>
      </c>
    </row>
    <row r="425" spans="1:28" s="277" customFormat="1" ht="40.5">
      <c r="A425" s="216"/>
      <c r="B425" s="217" t="s">
        <v>1154</v>
      </c>
      <c r="C425" s="221" t="s">
        <v>1898</v>
      </c>
      <c r="D425" s="283" t="s">
        <v>15791</v>
      </c>
      <c r="E425" s="217" t="s">
        <v>2576</v>
      </c>
      <c r="F425" s="217" t="s">
        <v>14250</v>
      </c>
      <c r="G425" s="217" t="s">
        <v>14250</v>
      </c>
      <c r="H425" s="218">
        <f ca="1">IF(ISERROR($V425),"",OFFSET('Smelter Look-up'!$G$4,$V425-4,0))</f>
        <v>0</v>
      </c>
      <c r="I425" s="219">
        <f ca="1">IF(ISERROR($V425),"",OFFSET('Smelter Look-up'!$H$4,$V425-4,0))</f>
        <v>0</v>
      </c>
      <c r="J425" s="219">
        <f ca="1">IF(ISERROR($V425),"",OFFSET('Smelter Look-up'!$I$4,$V425-4,0))</f>
        <v>0</v>
      </c>
      <c r="K425" s="273"/>
      <c r="L425" s="273"/>
      <c r="M425" s="273"/>
      <c r="N425" s="273"/>
      <c r="O425" s="273"/>
      <c r="P425" s="220"/>
      <c r="Q425" s="274"/>
      <c r="R425" s="217" t="str">
        <f ca="1">IF(ISERROR($V425),"",OFFSET('Smelter Look-up'!$C$4,$V425-4,0)&amp;"")</f>
        <v/>
      </c>
      <c r="S425" s="225" t="str">
        <f t="shared" ca="1" si="60"/>
        <v>US</v>
      </c>
      <c r="T425" s="225" t="str">
        <f ca="1">IF(B425="","",IF(ISERROR(MATCH($J425,SorP!$B$1:$B$6230,0)),"",INDIRECT("'SorP'!$A$"&amp;MATCH($J425,SorP!$B$1:$B$6230,0))))</f>
        <v/>
      </c>
      <c r="U425" s="241"/>
      <c r="V425" s="275">
        <f>IF(C425="",NA(),MATCH($B425&amp;$C425,'Smelter Look-up'!$J:$J,0))</f>
        <v>484</v>
      </c>
      <c r="W425" s="276"/>
      <c r="X425" s="276">
        <f t="shared" si="61"/>
        <v>0</v>
      </c>
      <c r="Y425" s="276"/>
      <c r="Z425" s="276"/>
      <c r="AB425" s="278" t="str">
        <f t="shared" si="62"/>
        <v>TinSmelter not listed</v>
      </c>
    </row>
    <row r="426" spans="1:28" s="277" customFormat="1" ht="162">
      <c r="A426" s="216"/>
      <c r="B426" s="217" t="s">
        <v>1153</v>
      </c>
      <c r="C426" s="221" t="s">
        <v>2667</v>
      </c>
      <c r="D426" s="283" t="s">
        <v>2667</v>
      </c>
      <c r="E426" s="217" t="s">
        <v>1135</v>
      </c>
      <c r="F426" s="217" t="s">
        <v>2668</v>
      </c>
      <c r="G426" s="217" t="s">
        <v>15513</v>
      </c>
      <c r="H426" s="218">
        <f ca="1">IF(ISERROR($V426),"",OFFSET('Smelter Look-up'!$G$4,$V426-4,0))</f>
        <v>0</v>
      </c>
      <c r="I426" s="219" t="str">
        <f ca="1">IF(ISERROR($V426),"",OFFSET('Smelter Look-up'!$H$4,$V426-4,0))</f>
        <v>Vilnius</v>
      </c>
      <c r="J426" s="219" t="str">
        <f ca="1">IF(ISERROR($V426),"",OFFSET('Smelter Look-up'!$I$4,$V426-4,0))</f>
        <v>Vilnius</v>
      </c>
      <c r="K426" s="273"/>
      <c r="L426" s="273"/>
      <c r="M426" s="273"/>
      <c r="N426" s="273"/>
      <c r="O426" s="273"/>
      <c r="P426" s="220"/>
      <c r="Q426" s="274"/>
      <c r="R426" s="217" t="str">
        <f ca="1">IF(ISERROR($V426),"",OFFSET('Smelter Look-up'!$C$4,$V426-4,0)&amp;"")</f>
        <v>State Research Institute Center for Physical Sciences and Technology</v>
      </c>
      <c r="S426" s="225" t="str">
        <f t="shared" ca="1" si="60"/>
        <v>LT</v>
      </c>
      <c r="T426" s="225" t="str">
        <f ca="1">IF(B426="","",IF(ISERROR(MATCH($J426,SorP!$B$1:$B$6230,0)),"",INDIRECT("'SorP'!$A$"&amp;MATCH($J426,SorP!$B$1:$B$6230,0))))</f>
        <v>LT-58</v>
      </c>
      <c r="U426" s="241"/>
      <c r="V426" s="275">
        <f>IF(C426="",NA(),MATCH($B426&amp;$C426,'Smelter Look-up'!$J:$J,0))</f>
        <v>237</v>
      </c>
      <c r="W426" s="276"/>
      <c r="X426" s="276">
        <f t="shared" si="61"/>
        <v>0</v>
      </c>
      <c r="Y426" s="276"/>
      <c r="Z426" s="276"/>
      <c r="AB426" s="278" t="str">
        <f t="shared" si="62"/>
        <v>GoldState Research Institute Center for Physical Sciences and Technology</v>
      </c>
    </row>
    <row r="427" spans="1:28" s="277" customFormat="1" ht="40.5">
      <c r="A427" s="216"/>
      <c r="B427" s="217" t="s">
        <v>1153</v>
      </c>
      <c r="C427" s="221" t="s">
        <v>1744</v>
      </c>
      <c r="D427" s="283" t="s">
        <v>1744</v>
      </c>
      <c r="E427" s="217" t="s">
        <v>908</v>
      </c>
      <c r="F427" s="217" t="s">
        <v>1745</v>
      </c>
      <c r="G427" s="217" t="s">
        <v>15513</v>
      </c>
      <c r="H427" s="218">
        <f ca="1">IF(ISERROR($V427),"",OFFSET('Smelter Look-up'!$G$4,$V427-4,0))</f>
        <v>0</v>
      </c>
      <c r="I427" s="219" t="str">
        <f ca="1">IF(ISERROR($V427),"",OFFSET('Smelter Look-up'!$H$4,$V427-4,0))</f>
        <v>Khartoum</v>
      </c>
      <c r="J427" s="219" t="str">
        <f ca="1">IF(ISERROR($V427),"",OFFSET('Smelter Look-up'!$I$4,$V427-4,0))</f>
        <v>Khartoum</v>
      </c>
      <c r="K427" s="273"/>
      <c r="L427" s="273"/>
      <c r="M427" s="273"/>
      <c r="N427" s="273"/>
      <c r="O427" s="273"/>
      <c r="P427" s="220"/>
      <c r="Q427" s="274"/>
      <c r="R427" s="217" t="str">
        <f ca="1">IF(ISERROR($V427),"",OFFSET('Smelter Look-up'!$C$4,$V427-4,0)&amp;"")</f>
        <v>Sudan Gold Refinery</v>
      </c>
      <c r="S427" s="225" t="str">
        <f t="shared" ca="1" si="60"/>
        <v>SD</v>
      </c>
      <c r="T427" s="225" t="str">
        <f ca="1">IF(B427="","",IF(ISERROR(MATCH($J427,SorP!$B$1:$B$6230,0)),"",INDIRECT("'SorP'!$A$"&amp;MATCH($J427,SorP!$B$1:$B$6230,0))))</f>
        <v>SD-KH</v>
      </c>
      <c r="U427" s="241"/>
      <c r="V427" s="275">
        <f>IF(C427="",NA(),MATCH($B427&amp;$C427,'Smelter Look-up'!$J:$J,0))</f>
        <v>238</v>
      </c>
      <c r="W427" s="276"/>
      <c r="X427" s="276">
        <f t="shared" si="61"/>
        <v>0</v>
      </c>
      <c r="Y427" s="276"/>
      <c r="Z427" s="276"/>
      <c r="AB427" s="278" t="str">
        <f t="shared" si="62"/>
        <v>GoldSudan Gold Refinery</v>
      </c>
    </row>
    <row r="428" spans="1:28" s="277" customFormat="1" ht="67.5">
      <c r="A428" s="216"/>
      <c r="B428" s="217" t="s">
        <v>1153</v>
      </c>
      <c r="C428" s="221" t="s">
        <v>60</v>
      </c>
      <c r="D428" s="283" t="s">
        <v>60</v>
      </c>
      <c r="E428" s="217" t="s">
        <v>1131</v>
      </c>
      <c r="F428" s="217" t="s">
        <v>747</v>
      </c>
      <c r="G428" s="217" t="s">
        <v>15513</v>
      </c>
      <c r="H428" s="218">
        <f ca="1">IF(ISERROR($V428),"",OFFSET('Smelter Look-up'!$G$4,$V428-4,0))</f>
        <v>0</v>
      </c>
      <c r="I428" s="219" t="str">
        <f ca="1">IF(ISERROR($V428),"",OFFSET('Smelter Look-up'!$H$4,$V428-4,0))</f>
        <v>Saijo</v>
      </c>
      <c r="J428" s="219" t="str">
        <f ca="1">IF(ISERROR($V428),"",OFFSET('Smelter Look-up'!$I$4,$V428-4,0))</f>
        <v>Ehime</v>
      </c>
      <c r="K428" s="273"/>
      <c r="L428" s="273"/>
      <c r="M428" s="273"/>
      <c r="N428" s="273"/>
      <c r="O428" s="273"/>
      <c r="P428" s="220"/>
      <c r="Q428" s="274"/>
      <c r="R428" s="217" t="str">
        <f ca="1">IF(ISERROR($V428),"",OFFSET('Smelter Look-up'!$C$4,$V428-4,0)&amp;"")</f>
        <v>Sumitomo Metal Mining Co., Ltd.</v>
      </c>
      <c r="S428" s="225" t="str">
        <f t="shared" ca="1" si="60"/>
        <v>JP</v>
      </c>
      <c r="T428" s="225" t="str">
        <f ca="1">IF(B428="","",IF(ISERROR(MATCH($J428,SorP!$B$1:$B$6230,0)),"",INDIRECT("'SorP'!$A$"&amp;MATCH($J428,SorP!$B$1:$B$6230,0))))</f>
        <v>JP-38</v>
      </c>
      <c r="U428" s="241"/>
      <c r="V428" s="275">
        <f>IF(C428="",NA(),MATCH($B428&amp;$C428,'Smelter Look-up'!$J:$J,0))</f>
        <v>240</v>
      </c>
      <c r="W428" s="276"/>
      <c r="X428" s="276">
        <f t="shared" si="61"/>
        <v>0</v>
      </c>
      <c r="Y428" s="276"/>
      <c r="Z428" s="276"/>
      <c r="AB428" s="278" t="str">
        <f t="shared" si="62"/>
        <v>GoldSumitomo Metal Mining Co., Ltd.</v>
      </c>
    </row>
    <row r="429" spans="1:28" s="277" customFormat="1" ht="54">
      <c r="A429" s="216"/>
      <c r="B429" s="217" t="s">
        <v>1153</v>
      </c>
      <c r="C429" s="221" t="s">
        <v>13260</v>
      </c>
      <c r="D429" s="283" t="s">
        <v>13260</v>
      </c>
      <c r="E429" s="217" t="s">
        <v>1134</v>
      </c>
      <c r="F429" s="217" t="s">
        <v>2596</v>
      </c>
      <c r="G429" s="217" t="s">
        <v>15513</v>
      </c>
      <c r="H429" s="218">
        <f ca="1">IF(ISERROR($V429),"",OFFSET('Smelter Look-up'!$G$4,$V429-4,0))</f>
        <v>0</v>
      </c>
      <c r="I429" s="219" t="str">
        <f ca="1">IF(ISERROR($V429),"",OFFSET('Smelter Look-up'!$H$4,$V429-4,0))</f>
        <v>Gunsan-si</v>
      </c>
      <c r="J429" s="219" t="str">
        <f ca="1">IF(ISERROR($V429),"",OFFSET('Smelter Look-up'!$I$4,$V429-4,0))</f>
        <v>Jeollabuk-do</v>
      </c>
      <c r="K429" s="273"/>
      <c r="L429" s="273"/>
      <c r="M429" s="273"/>
      <c r="N429" s="273"/>
      <c r="O429" s="273"/>
      <c r="P429" s="220"/>
      <c r="Q429" s="274"/>
      <c r="R429" s="217" t="str">
        <f ca="1">IF(ISERROR($V429),"",OFFSET('Smelter Look-up'!$C$4,$V429-4,0)&amp;"")</f>
        <v>SungEel HiMetal Co., Ltd.</v>
      </c>
      <c r="S429" s="225" t="str">
        <f t="shared" ca="1" si="60"/>
        <v>KR</v>
      </c>
      <c r="T429" s="225" t="str">
        <f ca="1">IF(B429="","",IF(ISERROR(MATCH($J429,SorP!$B$1:$B$6230,0)),"",INDIRECT("'SorP'!$A$"&amp;MATCH($J429,SorP!$B$1:$B$6230,0))))</f>
        <v>KR-45</v>
      </c>
      <c r="U429" s="241"/>
      <c r="V429" s="275">
        <f>IF(C429="",NA(),MATCH($B429&amp;$C429,'Smelter Look-up'!$J:$J,0))</f>
        <v>241</v>
      </c>
      <c r="W429" s="276"/>
      <c r="X429" s="276">
        <f t="shared" si="61"/>
        <v>0</v>
      </c>
      <c r="Y429" s="276"/>
      <c r="Z429" s="276"/>
      <c r="AB429" s="278" t="str">
        <f t="shared" si="62"/>
        <v>GoldSungEel HiMetal Co., Ltd.</v>
      </c>
    </row>
    <row r="430" spans="1:28" s="277" customFormat="1" ht="40.5">
      <c r="A430" s="216"/>
      <c r="B430" s="217" t="s">
        <v>1153</v>
      </c>
      <c r="C430" s="221" t="s">
        <v>1898</v>
      </c>
      <c r="D430" s="283" t="s">
        <v>15792</v>
      </c>
      <c r="E430" s="217" t="s">
        <v>2575</v>
      </c>
      <c r="F430" s="217" t="s">
        <v>14250</v>
      </c>
      <c r="G430" s="217" t="s">
        <v>14250</v>
      </c>
      <c r="H430" s="218">
        <f ca="1">IF(ISERROR($V430),"",OFFSET('Smelter Look-up'!$G$4,$V430-4,0))</f>
        <v>0</v>
      </c>
      <c r="I430" s="219">
        <f ca="1">IF(ISERROR($V430),"",OFFSET('Smelter Look-up'!$H$4,$V430-4,0))</f>
        <v>0</v>
      </c>
      <c r="J430" s="219">
        <f ca="1">IF(ISERROR($V430),"",OFFSET('Smelter Look-up'!$I$4,$V430-4,0))</f>
        <v>0</v>
      </c>
      <c r="K430" s="273"/>
      <c r="L430" s="273"/>
      <c r="M430" s="273"/>
      <c r="N430" s="273"/>
      <c r="O430" s="273"/>
      <c r="P430" s="220"/>
      <c r="Q430" s="274"/>
      <c r="R430" s="217" t="str">
        <f ca="1">IF(ISERROR($V430),"",OFFSET('Smelter Look-up'!$C$4,$V430-4,0)&amp;"")</f>
        <v/>
      </c>
      <c r="S430" s="225" t="str">
        <f t="shared" ca="1" si="60"/>
        <v>TW</v>
      </c>
      <c r="T430" s="225" t="str">
        <f ca="1">IF(B430="","",IF(ISERROR(MATCH($J430,SorP!$B$1:$B$6230,0)),"",INDIRECT("'SorP'!$A$"&amp;MATCH($J430,SorP!$B$1:$B$6230,0))))</f>
        <v/>
      </c>
      <c r="U430" s="241"/>
      <c r="V430" s="275">
        <f>IF(C430="",NA(),MATCH($B430&amp;$C430,'Smelter Look-up'!$J:$J,0))</f>
        <v>293</v>
      </c>
      <c r="W430" s="276"/>
      <c r="X430" s="276">
        <f t="shared" si="61"/>
        <v>0</v>
      </c>
      <c r="Y430" s="276"/>
      <c r="Z430" s="276"/>
      <c r="AB430" s="278" t="str">
        <f t="shared" si="62"/>
        <v>GoldSmelter not listed</v>
      </c>
    </row>
    <row r="431" spans="1:28" s="277" customFormat="1" ht="40.5">
      <c r="A431" s="216"/>
      <c r="B431" s="217" t="s">
        <v>1153</v>
      </c>
      <c r="C431" s="221" t="s">
        <v>1898</v>
      </c>
      <c r="D431" s="283" t="s">
        <v>15793</v>
      </c>
      <c r="E431" s="217" t="s">
        <v>1123</v>
      </c>
      <c r="F431" s="217" t="s">
        <v>14250</v>
      </c>
      <c r="G431" s="217" t="s">
        <v>14250</v>
      </c>
      <c r="H431" s="218">
        <f ca="1">IF(ISERROR($V431),"",OFFSET('Smelter Look-up'!$G$4,$V431-4,0))</f>
        <v>0</v>
      </c>
      <c r="I431" s="219">
        <f ca="1">IF(ISERROR($V431),"",OFFSET('Smelter Look-up'!$H$4,$V431-4,0))</f>
        <v>0</v>
      </c>
      <c r="J431" s="219">
        <f ca="1">IF(ISERROR($V431),"",OFFSET('Smelter Look-up'!$I$4,$V431-4,0))</f>
        <v>0</v>
      </c>
      <c r="K431" s="273"/>
      <c r="L431" s="273"/>
      <c r="M431" s="273"/>
      <c r="N431" s="273"/>
      <c r="O431" s="273"/>
      <c r="P431" s="220"/>
      <c r="Q431" s="274"/>
      <c r="R431" s="217" t="str">
        <f ca="1">IF(ISERROR($V431),"",OFFSET('Smelter Look-up'!$C$4,$V431-4,0)&amp;"")</f>
        <v/>
      </c>
      <c r="S431" s="225" t="str">
        <f t="shared" ca="1" si="60"/>
        <v>CN</v>
      </c>
      <c r="T431" s="225" t="str">
        <f ca="1">IF(B431="","",IF(ISERROR(MATCH($J431,SorP!$B$1:$B$6230,0)),"",INDIRECT("'SorP'!$A$"&amp;MATCH($J431,SorP!$B$1:$B$6230,0))))</f>
        <v/>
      </c>
      <c r="U431" s="241"/>
      <c r="V431" s="275">
        <f>IF(C431="",NA(),MATCH($B431&amp;$C431,'Smelter Look-up'!$J:$J,0))</f>
        <v>293</v>
      </c>
      <c r="W431" s="276"/>
      <c r="X431" s="276">
        <f t="shared" si="61"/>
        <v>0</v>
      </c>
      <c r="Y431" s="276"/>
      <c r="Z431" s="276"/>
      <c r="AB431" s="278" t="str">
        <f t="shared" si="62"/>
        <v>GoldSmelter not listed</v>
      </c>
    </row>
    <row r="432" spans="1:28" s="277" customFormat="1" ht="27">
      <c r="A432" s="216"/>
      <c r="B432" s="217" t="s">
        <v>1154</v>
      </c>
      <c r="C432" s="221" t="s">
        <v>2679</v>
      </c>
      <c r="D432" s="283" t="s">
        <v>2679</v>
      </c>
      <c r="E432" s="217" t="s">
        <v>1119</v>
      </c>
      <c r="F432" s="217" t="s">
        <v>2680</v>
      </c>
      <c r="G432" s="217" t="s">
        <v>15513</v>
      </c>
      <c r="H432" s="218">
        <f ca="1">IF(ISERROR($V432),"",OFFSET('Smelter Look-up'!$G$4,$V432-4,0))</f>
        <v>0</v>
      </c>
      <c r="I432" s="219" t="str">
        <f ca="1">IF(ISERROR($V432),"",OFFSET('Smelter Look-up'!$H$4,$V432-4,0))</f>
        <v>Piracicaba</v>
      </c>
      <c r="J432" s="219" t="str">
        <f ca="1">IF(ISERROR($V432),"",OFFSET('Smelter Look-up'!$I$4,$V432-4,0))</f>
        <v>São Paulo</v>
      </c>
      <c r="K432" s="273"/>
      <c r="L432" s="273"/>
      <c r="M432" s="273"/>
      <c r="N432" s="273"/>
      <c r="O432" s="273"/>
      <c r="P432" s="220"/>
      <c r="Q432" s="274"/>
      <c r="R432" s="217" t="str">
        <f ca="1">IF(ISERROR($V432),"",OFFSET('Smelter Look-up'!$C$4,$V432-4,0)&amp;"")</f>
        <v>Super Ligas</v>
      </c>
      <c r="S432" s="225" t="str">
        <f t="shared" ca="1" si="60"/>
        <v>BR</v>
      </c>
      <c r="T432" s="225" t="str">
        <f ca="1">IF(B432="","",IF(ISERROR(MATCH($J432,SorP!$B$1:$B$6230,0)),"",INDIRECT("'SorP'!$A$"&amp;MATCH($J432,SorP!$B$1:$B$6230,0))))</f>
        <v>BR-SP</v>
      </c>
      <c r="U432" s="241"/>
      <c r="V432" s="275">
        <f>IF(C432="",NA(),MATCH($B432&amp;$C432,'Smelter Look-up'!$J:$J,0))</f>
        <v>454</v>
      </c>
      <c r="W432" s="276"/>
      <c r="X432" s="276">
        <f t="shared" si="61"/>
        <v>0</v>
      </c>
      <c r="Y432" s="276"/>
      <c r="Z432" s="276"/>
      <c r="AB432" s="278" t="str">
        <f t="shared" si="62"/>
        <v>TinSuper Ligas</v>
      </c>
    </row>
    <row r="433" spans="1:28" s="277" customFormat="1" ht="40.5">
      <c r="A433" s="216"/>
      <c r="B433" s="217" t="s">
        <v>1154</v>
      </c>
      <c r="C433" s="221" t="s">
        <v>1898</v>
      </c>
      <c r="D433" s="283" t="s">
        <v>15794</v>
      </c>
      <c r="E433" s="217" t="s">
        <v>1123</v>
      </c>
      <c r="F433" s="217" t="s">
        <v>14250</v>
      </c>
      <c r="G433" s="217" t="s">
        <v>14250</v>
      </c>
      <c r="H433" s="218">
        <f ca="1">IF(ISERROR($V433),"",OFFSET('Smelter Look-up'!$G$4,$V433-4,0))</f>
        <v>0</v>
      </c>
      <c r="I433" s="219">
        <f ca="1">IF(ISERROR($V433),"",OFFSET('Smelter Look-up'!$H$4,$V433-4,0))</f>
        <v>0</v>
      </c>
      <c r="J433" s="219">
        <f ca="1">IF(ISERROR($V433),"",OFFSET('Smelter Look-up'!$I$4,$V433-4,0))</f>
        <v>0</v>
      </c>
      <c r="K433" s="273"/>
      <c r="L433" s="273"/>
      <c r="M433" s="273"/>
      <c r="N433" s="273"/>
      <c r="O433" s="273"/>
      <c r="P433" s="220"/>
      <c r="Q433" s="274"/>
      <c r="R433" s="217" t="str">
        <f ca="1">IF(ISERROR($V433),"",OFFSET('Smelter Look-up'!$C$4,$V433-4,0)&amp;"")</f>
        <v/>
      </c>
      <c r="S433" s="225" t="str">
        <f t="shared" ca="1" si="60"/>
        <v>CN</v>
      </c>
      <c r="T433" s="225" t="str">
        <f ca="1">IF(B433="","",IF(ISERROR(MATCH($J433,SorP!$B$1:$B$6230,0)),"",INDIRECT("'SorP'!$A$"&amp;MATCH($J433,SorP!$B$1:$B$6230,0))))</f>
        <v/>
      </c>
      <c r="U433" s="241"/>
      <c r="V433" s="275">
        <f>IF(C433="",NA(),MATCH($B433&amp;$C433,'Smelter Look-up'!$J:$J,0))</f>
        <v>484</v>
      </c>
      <c r="W433" s="276"/>
      <c r="X433" s="276">
        <f t="shared" si="61"/>
        <v>0</v>
      </c>
      <c r="Y433" s="276"/>
      <c r="Z433" s="276"/>
      <c r="AB433" s="278" t="str">
        <f t="shared" si="62"/>
        <v>TinSmelter not listed</v>
      </c>
    </row>
    <row r="434" spans="1:28" s="277" customFormat="1" ht="40.5">
      <c r="A434" s="216"/>
      <c r="B434" s="217" t="s">
        <v>1153</v>
      </c>
      <c r="C434" s="221" t="s">
        <v>1898</v>
      </c>
      <c r="D434" s="283" t="s">
        <v>15795</v>
      </c>
      <c r="E434" s="217" t="s">
        <v>1123</v>
      </c>
      <c r="F434" s="217" t="s">
        <v>14250</v>
      </c>
      <c r="G434" s="217" t="s">
        <v>14250</v>
      </c>
      <c r="H434" s="218">
        <f ca="1">IF(ISERROR($V434),"",OFFSET('Smelter Look-up'!$G$4,$V434-4,0))</f>
        <v>0</v>
      </c>
      <c r="I434" s="219">
        <f ca="1">IF(ISERROR($V434),"",OFFSET('Smelter Look-up'!$H$4,$V434-4,0))</f>
        <v>0</v>
      </c>
      <c r="J434" s="219">
        <f ca="1">IF(ISERROR($V434),"",OFFSET('Smelter Look-up'!$I$4,$V434-4,0))</f>
        <v>0</v>
      </c>
      <c r="K434" s="273"/>
      <c r="L434" s="273"/>
      <c r="M434" s="273"/>
      <c r="N434" s="273"/>
      <c r="O434" s="273"/>
      <c r="P434" s="220"/>
      <c r="Q434" s="274"/>
      <c r="R434" s="217" t="str">
        <f ca="1">IF(ISERROR($V434),"",OFFSET('Smelter Look-up'!$C$4,$V434-4,0)&amp;"")</f>
        <v/>
      </c>
      <c r="S434" s="225" t="str">
        <f t="shared" ca="1" si="60"/>
        <v>CN</v>
      </c>
      <c r="T434" s="225" t="str">
        <f ca="1">IF(B434="","",IF(ISERROR(MATCH($J434,SorP!$B$1:$B$6230,0)),"",INDIRECT("'SorP'!$A$"&amp;MATCH($J434,SorP!$B$1:$B$6230,0))))</f>
        <v/>
      </c>
      <c r="U434" s="241"/>
      <c r="V434" s="275">
        <f>IF(C434="",NA(),MATCH($B434&amp;$C434,'Smelter Look-up'!$J:$J,0))</f>
        <v>293</v>
      </c>
      <c r="W434" s="276"/>
      <c r="X434" s="276">
        <f t="shared" si="61"/>
        <v>0</v>
      </c>
      <c r="Y434" s="276"/>
      <c r="Z434" s="276"/>
      <c r="AB434" s="278" t="str">
        <f t="shared" si="62"/>
        <v>GoldSmelter not listed</v>
      </c>
    </row>
    <row r="435" spans="1:28" s="277" customFormat="1" ht="27">
      <c r="A435" s="216"/>
      <c r="B435" s="217" t="s">
        <v>1153</v>
      </c>
      <c r="C435" s="221" t="s">
        <v>2327</v>
      </c>
      <c r="D435" s="283" t="s">
        <v>2327</v>
      </c>
      <c r="E435" s="217" t="s">
        <v>1130</v>
      </c>
      <c r="F435" s="217" t="s">
        <v>1747</v>
      </c>
      <c r="G435" s="217" t="s">
        <v>15513</v>
      </c>
      <c r="H435" s="218">
        <f ca="1">IF(ISERROR($V435),"",OFFSET('Smelter Look-up'!$G$4,$V435-4,0))</f>
        <v>0</v>
      </c>
      <c r="I435" s="219" t="str">
        <f ca="1">IF(ISERROR($V435),"",OFFSET('Smelter Look-up'!$H$4,$V435-4,0))</f>
        <v>Capolona</v>
      </c>
      <c r="J435" s="219" t="str">
        <f ca="1">IF(ISERROR($V435),"",OFFSET('Smelter Look-up'!$I$4,$V435-4,0))</f>
        <v>Toscana</v>
      </c>
      <c r="K435" s="273"/>
      <c r="L435" s="273"/>
      <c r="M435" s="273"/>
      <c r="N435" s="273"/>
      <c r="O435" s="273"/>
      <c r="P435" s="220"/>
      <c r="Q435" s="274"/>
      <c r="R435" s="217" t="str">
        <f ca="1">IF(ISERROR($V435),"",OFFSET('Smelter Look-up'!$C$4,$V435-4,0)&amp;"")</f>
        <v>T.C.A S.p.A</v>
      </c>
      <c r="S435" s="225" t="str">
        <f t="shared" ca="1" si="60"/>
        <v>IT</v>
      </c>
      <c r="T435" s="225" t="str">
        <f ca="1">IF(B435="","",IF(ISERROR(MATCH($J435,SorP!$B$1:$B$6230,0)),"",INDIRECT("'SorP'!$A$"&amp;MATCH($J435,SorP!$B$1:$B$6230,0))))</f>
        <v>IT-52</v>
      </c>
      <c r="U435" s="241"/>
      <c r="V435" s="275">
        <f>IF(C435="",NA(),MATCH($B435&amp;$C435,'Smelter Look-up'!$J:$J,0))</f>
        <v>243</v>
      </c>
      <c r="W435" s="276"/>
      <c r="X435" s="276">
        <f t="shared" si="61"/>
        <v>0</v>
      </c>
      <c r="Y435" s="276"/>
      <c r="Z435" s="276"/>
      <c r="AB435" s="278" t="str">
        <f t="shared" si="62"/>
        <v>GoldT.C.A S.p.A</v>
      </c>
    </row>
    <row r="436" spans="1:28" s="277" customFormat="1" ht="40.5">
      <c r="A436" s="216"/>
      <c r="B436" s="217" t="s">
        <v>1153</v>
      </c>
      <c r="C436" s="221" t="s">
        <v>1898</v>
      </c>
      <c r="D436" s="283" t="s">
        <v>15796</v>
      </c>
      <c r="E436" s="217" t="s">
        <v>2575</v>
      </c>
      <c r="F436" s="217" t="s">
        <v>14250</v>
      </c>
      <c r="G436" s="217" t="s">
        <v>14250</v>
      </c>
      <c r="H436" s="218">
        <f ca="1">IF(ISERROR($V436),"",OFFSET('Smelter Look-up'!$G$4,$V436-4,0))</f>
        <v>0</v>
      </c>
      <c r="I436" s="219">
        <f ca="1">IF(ISERROR($V436),"",OFFSET('Smelter Look-up'!$H$4,$V436-4,0))</f>
        <v>0</v>
      </c>
      <c r="J436" s="219">
        <f ca="1">IF(ISERROR($V436),"",OFFSET('Smelter Look-up'!$I$4,$V436-4,0))</f>
        <v>0</v>
      </c>
      <c r="K436" s="273"/>
      <c r="L436" s="273"/>
      <c r="M436" s="273"/>
      <c r="N436" s="273"/>
      <c r="O436" s="273"/>
      <c r="P436" s="220"/>
      <c r="Q436" s="274"/>
      <c r="R436" s="217" t="str">
        <f ca="1">IF(ISERROR($V436),"",OFFSET('Smelter Look-up'!$C$4,$V436-4,0)&amp;"")</f>
        <v/>
      </c>
      <c r="S436" s="225" t="str">
        <f t="shared" ca="1" si="60"/>
        <v>TW</v>
      </c>
      <c r="T436" s="225" t="str">
        <f ca="1">IF(B436="","",IF(ISERROR(MATCH($J436,SorP!$B$1:$B$6230,0)),"",INDIRECT("'SorP'!$A$"&amp;MATCH($J436,SorP!$B$1:$B$6230,0))))</f>
        <v/>
      </c>
      <c r="U436" s="241"/>
      <c r="V436" s="275">
        <f>IF(C436="",NA(),MATCH($B436&amp;$C436,'Smelter Look-up'!$J:$J,0))</f>
        <v>293</v>
      </c>
      <c r="W436" s="276"/>
      <c r="X436" s="276">
        <f t="shared" si="61"/>
        <v>0</v>
      </c>
      <c r="Y436" s="276"/>
      <c r="Z436" s="276"/>
      <c r="AB436" s="278" t="str">
        <f t="shared" si="62"/>
        <v>GoldSmelter not listed</v>
      </c>
    </row>
    <row r="437" spans="1:28" s="277" customFormat="1" ht="40.5">
      <c r="A437" s="216"/>
      <c r="B437" s="217" t="s">
        <v>1154</v>
      </c>
      <c r="C437" s="221" t="s">
        <v>1898</v>
      </c>
      <c r="D437" s="283" t="s">
        <v>15797</v>
      </c>
      <c r="E437" s="217" t="s">
        <v>1123</v>
      </c>
      <c r="F437" s="217" t="s">
        <v>14250</v>
      </c>
      <c r="G437" s="217" t="s">
        <v>14250</v>
      </c>
      <c r="H437" s="218">
        <f ca="1">IF(ISERROR($V437),"",OFFSET('Smelter Look-up'!$G$4,$V437-4,0))</f>
        <v>0</v>
      </c>
      <c r="I437" s="219">
        <f ca="1">IF(ISERROR($V437),"",OFFSET('Smelter Look-up'!$H$4,$V437-4,0))</f>
        <v>0</v>
      </c>
      <c r="J437" s="219">
        <f ca="1">IF(ISERROR($V437),"",OFFSET('Smelter Look-up'!$I$4,$V437-4,0))</f>
        <v>0</v>
      </c>
      <c r="K437" s="273"/>
      <c r="L437" s="273"/>
      <c r="M437" s="273"/>
      <c r="N437" s="273"/>
      <c r="O437" s="273"/>
      <c r="P437" s="220"/>
      <c r="Q437" s="274"/>
      <c r="R437" s="217" t="str">
        <f ca="1">IF(ISERROR($V437),"",OFFSET('Smelter Look-up'!$C$4,$V437-4,0)&amp;"")</f>
        <v/>
      </c>
      <c r="S437" s="225" t="str">
        <f t="shared" ca="1" si="60"/>
        <v>CN</v>
      </c>
      <c r="T437" s="225" t="str">
        <f ca="1">IF(B437="","",IF(ISERROR(MATCH($J437,SorP!$B$1:$B$6230,0)),"",INDIRECT("'SorP'!$A$"&amp;MATCH($J437,SorP!$B$1:$B$6230,0))))</f>
        <v/>
      </c>
      <c r="U437" s="241"/>
      <c r="V437" s="275">
        <f>IF(C437="",NA(),MATCH($B437&amp;$C437,'Smelter Look-up'!$J:$J,0))</f>
        <v>484</v>
      </c>
      <c r="W437" s="276"/>
      <c r="X437" s="276">
        <f t="shared" si="61"/>
        <v>0</v>
      </c>
      <c r="Y437" s="276"/>
      <c r="Z437" s="276"/>
      <c r="AB437" s="278" t="str">
        <f t="shared" si="62"/>
        <v>TinSmelter not listed</v>
      </c>
    </row>
    <row r="438" spans="1:28" s="277" customFormat="1" ht="40.5">
      <c r="A438" s="216"/>
      <c r="B438" s="217" t="s">
        <v>1154</v>
      </c>
      <c r="C438" s="221" t="s">
        <v>1898</v>
      </c>
      <c r="D438" s="283" t="s">
        <v>15798</v>
      </c>
      <c r="E438" s="217" t="s">
        <v>2575</v>
      </c>
      <c r="F438" s="217" t="s">
        <v>14250</v>
      </c>
      <c r="G438" s="217" t="s">
        <v>14250</v>
      </c>
      <c r="H438" s="218">
        <f ca="1">IF(ISERROR($V438),"",OFFSET('Smelter Look-up'!$G$4,$V438-4,0))</f>
        <v>0</v>
      </c>
      <c r="I438" s="219">
        <f ca="1">IF(ISERROR($V438),"",OFFSET('Smelter Look-up'!$H$4,$V438-4,0))</f>
        <v>0</v>
      </c>
      <c r="J438" s="219">
        <f ca="1">IF(ISERROR($V438),"",OFFSET('Smelter Look-up'!$I$4,$V438-4,0))</f>
        <v>0</v>
      </c>
      <c r="K438" s="273"/>
      <c r="L438" s="273"/>
      <c r="M438" s="273"/>
      <c r="N438" s="273"/>
      <c r="O438" s="273"/>
      <c r="P438" s="220"/>
      <c r="Q438" s="274"/>
      <c r="R438" s="217" t="str">
        <f ca="1">IF(ISERROR($V438),"",OFFSET('Smelter Look-up'!$C$4,$V438-4,0)&amp;"")</f>
        <v/>
      </c>
      <c r="S438" s="225" t="str">
        <f t="shared" ca="1" si="60"/>
        <v>TW</v>
      </c>
      <c r="T438" s="225" t="str">
        <f ca="1">IF(B438="","",IF(ISERROR(MATCH($J438,SorP!$B$1:$B$6230,0)),"",INDIRECT("'SorP'!$A$"&amp;MATCH($J438,SorP!$B$1:$B$6230,0))))</f>
        <v/>
      </c>
      <c r="U438" s="241"/>
      <c r="V438" s="275">
        <f>IF(C438="",NA(),MATCH($B438&amp;$C438,'Smelter Look-up'!$J:$J,0))</f>
        <v>484</v>
      </c>
      <c r="W438" s="276"/>
      <c r="X438" s="276">
        <f t="shared" si="61"/>
        <v>0</v>
      </c>
      <c r="Y438" s="276"/>
      <c r="Z438" s="276"/>
      <c r="AB438" s="278" t="str">
        <f t="shared" si="62"/>
        <v>TinSmelter not listed</v>
      </c>
    </row>
    <row r="439" spans="1:28" s="277" customFormat="1" ht="40.5">
      <c r="A439" s="216"/>
      <c r="B439" s="217" t="s">
        <v>1154</v>
      </c>
      <c r="C439" s="221" t="s">
        <v>1898</v>
      </c>
      <c r="D439" s="283" t="s">
        <v>15799</v>
      </c>
      <c r="E439" s="217" t="s">
        <v>2575</v>
      </c>
      <c r="F439" s="217" t="s">
        <v>14250</v>
      </c>
      <c r="G439" s="217" t="s">
        <v>14250</v>
      </c>
      <c r="H439" s="218">
        <f ca="1">IF(ISERROR($V439),"",OFFSET('Smelter Look-up'!$G$4,$V439-4,0))</f>
        <v>0</v>
      </c>
      <c r="I439" s="219">
        <f ca="1">IF(ISERROR($V439),"",OFFSET('Smelter Look-up'!$H$4,$V439-4,0))</f>
        <v>0</v>
      </c>
      <c r="J439" s="219">
        <f ca="1">IF(ISERROR($V439),"",OFFSET('Smelter Look-up'!$I$4,$V439-4,0))</f>
        <v>0</v>
      </c>
      <c r="K439" s="273"/>
      <c r="L439" s="273"/>
      <c r="M439" s="273"/>
      <c r="N439" s="273"/>
      <c r="O439" s="273"/>
      <c r="P439" s="220"/>
      <c r="Q439" s="274"/>
      <c r="R439" s="217" t="str">
        <f ca="1">IF(ISERROR($V439),"",OFFSET('Smelter Look-up'!$C$4,$V439-4,0)&amp;"")</f>
        <v/>
      </c>
      <c r="S439" s="225" t="str">
        <f t="shared" ca="1" si="60"/>
        <v>TW</v>
      </c>
      <c r="T439" s="225" t="str">
        <f ca="1">IF(B439="","",IF(ISERROR(MATCH($J439,SorP!$B$1:$B$6230,0)),"",INDIRECT("'SorP'!$A$"&amp;MATCH($J439,SorP!$B$1:$B$6230,0))))</f>
        <v/>
      </c>
      <c r="U439" s="241"/>
      <c r="V439" s="275">
        <f>IF(C439="",NA(),MATCH($B439&amp;$C439,'Smelter Look-up'!$J:$J,0))</f>
        <v>484</v>
      </c>
      <c r="W439" s="276"/>
      <c r="X439" s="276">
        <f t="shared" si="61"/>
        <v>0</v>
      </c>
      <c r="Y439" s="276"/>
      <c r="Z439" s="276"/>
      <c r="AB439" s="278" t="str">
        <f t="shared" si="62"/>
        <v>TinSmelter not listed</v>
      </c>
    </row>
    <row r="440" spans="1:28" s="277" customFormat="1" ht="40.5">
      <c r="A440" s="216"/>
      <c r="B440" s="217" t="s">
        <v>1153</v>
      </c>
      <c r="C440" s="221" t="s">
        <v>1898</v>
      </c>
      <c r="D440" s="283" t="s">
        <v>15800</v>
      </c>
      <c r="E440" s="217" t="s">
        <v>2575</v>
      </c>
      <c r="F440" s="217" t="s">
        <v>14250</v>
      </c>
      <c r="G440" s="217" t="s">
        <v>14250</v>
      </c>
      <c r="H440" s="218">
        <f ca="1">IF(ISERROR($V440),"",OFFSET('Smelter Look-up'!$G$4,$V440-4,0))</f>
        <v>0</v>
      </c>
      <c r="I440" s="219">
        <f ca="1">IF(ISERROR($V440),"",OFFSET('Smelter Look-up'!$H$4,$V440-4,0))</f>
        <v>0</v>
      </c>
      <c r="J440" s="219">
        <f ca="1">IF(ISERROR($V440),"",OFFSET('Smelter Look-up'!$I$4,$V440-4,0))</f>
        <v>0</v>
      </c>
      <c r="K440" s="273"/>
      <c r="L440" s="273"/>
      <c r="M440" s="273"/>
      <c r="N440" s="273"/>
      <c r="O440" s="273"/>
      <c r="P440" s="220"/>
      <c r="Q440" s="274"/>
      <c r="R440" s="217" t="str">
        <f ca="1">IF(ISERROR($V440),"",OFFSET('Smelter Look-up'!$C$4,$V440-4,0)&amp;"")</f>
        <v/>
      </c>
      <c r="S440" s="225" t="str">
        <f t="shared" ca="1" si="60"/>
        <v>TW</v>
      </c>
      <c r="T440" s="225" t="str">
        <f ca="1">IF(B440="","",IF(ISERROR(MATCH($J440,SorP!$B$1:$B$6230,0)),"",INDIRECT("'SorP'!$A$"&amp;MATCH($J440,SorP!$B$1:$B$6230,0))))</f>
        <v/>
      </c>
      <c r="U440" s="241"/>
      <c r="V440" s="275">
        <f>IF(C440="",NA(),MATCH($B440&amp;$C440,'Smelter Look-up'!$J:$J,0))</f>
        <v>293</v>
      </c>
      <c r="W440" s="276"/>
      <c r="X440" s="276">
        <f t="shared" si="61"/>
        <v>0</v>
      </c>
      <c r="Y440" s="276"/>
      <c r="Z440" s="276"/>
      <c r="AB440" s="278" t="str">
        <f t="shared" si="62"/>
        <v>GoldSmelter not listed</v>
      </c>
    </row>
    <row r="441" spans="1:28" s="277" customFormat="1" ht="40.5">
      <c r="A441" s="216"/>
      <c r="B441" s="217" t="s">
        <v>1154</v>
      </c>
      <c r="C441" s="221" t="s">
        <v>1898</v>
      </c>
      <c r="D441" s="283" t="s">
        <v>15801</v>
      </c>
      <c r="E441" s="217" t="s">
        <v>2575</v>
      </c>
      <c r="F441" s="217" t="s">
        <v>14250</v>
      </c>
      <c r="G441" s="217" t="s">
        <v>14250</v>
      </c>
      <c r="H441" s="218">
        <f ca="1">IF(ISERROR($V441),"",OFFSET('Smelter Look-up'!$G$4,$V441-4,0))</f>
        <v>0</v>
      </c>
      <c r="I441" s="219">
        <f ca="1">IF(ISERROR($V441),"",OFFSET('Smelter Look-up'!$H$4,$V441-4,0))</f>
        <v>0</v>
      </c>
      <c r="J441" s="219">
        <f ca="1">IF(ISERROR($V441),"",OFFSET('Smelter Look-up'!$I$4,$V441-4,0))</f>
        <v>0</v>
      </c>
      <c r="K441" s="273"/>
      <c r="L441" s="273"/>
      <c r="M441" s="273"/>
      <c r="N441" s="273"/>
      <c r="O441" s="273"/>
      <c r="P441" s="220"/>
      <c r="Q441" s="274"/>
      <c r="R441" s="217" t="str">
        <f ca="1">IF(ISERROR($V441),"",OFFSET('Smelter Look-up'!$C$4,$V441-4,0)&amp;"")</f>
        <v/>
      </c>
      <c r="S441" s="225" t="str">
        <f t="shared" ca="1" si="60"/>
        <v>TW</v>
      </c>
      <c r="T441" s="225" t="str">
        <f ca="1">IF(B441="","",IF(ISERROR(MATCH($J441,SorP!$B$1:$B$6230,0)),"",INDIRECT("'SorP'!$A$"&amp;MATCH($J441,SorP!$B$1:$B$6230,0))))</f>
        <v/>
      </c>
      <c r="U441" s="241"/>
      <c r="V441" s="275">
        <f>IF(C441="",NA(),MATCH($B441&amp;$C441,'Smelter Look-up'!$J:$J,0))</f>
        <v>484</v>
      </c>
      <c r="W441" s="276"/>
      <c r="X441" s="276">
        <f t="shared" si="61"/>
        <v>0</v>
      </c>
      <c r="Y441" s="276"/>
      <c r="Z441" s="276"/>
      <c r="AB441" s="278" t="str">
        <f t="shared" si="62"/>
        <v>TinSmelter not listed</v>
      </c>
    </row>
    <row r="442" spans="1:28" s="277" customFormat="1" ht="67.5">
      <c r="A442" s="216"/>
      <c r="B442" s="217" t="s">
        <v>1155</v>
      </c>
      <c r="C442" s="221" t="s">
        <v>2589</v>
      </c>
      <c r="D442" s="283" t="s">
        <v>2589</v>
      </c>
      <c r="E442" s="217" t="s">
        <v>1131</v>
      </c>
      <c r="F442" s="217" t="s">
        <v>780</v>
      </c>
      <c r="G442" s="217" t="s">
        <v>15513</v>
      </c>
      <c r="H442" s="218">
        <f ca="1">IF(ISERROR($V442),"",OFFSET('Smelter Look-up'!$G$4,$V442-4,0))</f>
        <v>0</v>
      </c>
      <c r="I442" s="219" t="str">
        <f ca="1">IF(ISERROR($V442),"",OFFSET('Smelter Look-up'!$H$4,$V442-4,0))</f>
        <v>Harima</v>
      </c>
      <c r="J442" s="219" t="str">
        <f ca="1">IF(ISERROR($V442),"",OFFSET('Smelter Look-up'!$I$4,$V442-4,0))</f>
        <v>Hyogo</v>
      </c>
      <c r="K442" s="273"/>
      <c r="L442" s="273"/>
      <c r="M442" s="273"/>
      <c r="N442" s="273"/>
      <c r="O442" s="273"/>
      <c r="P442" s="220"/>
      <c r="Q442" s="274"/>
      <c r="R442" s="217" t="str">
        <f ca="1">IF(ISERROR($V442),"",OFFSET('Smelter Look-up'!$C$4,$V442-4,0)&amp;"")</f>
        <v>Taki Chemical Co., Ltd.</v>
      </c>
      <c r="S442" s="225" t="str">
        <f t="shared" ca="1" si="60"/>
        <v>JP</v>
      </c>
      <c r="T442" s="225" t="str">
        <f ca="1">IF(B442="","",IF(ISERROR(MATCH($J442,SorP!$B$1:$B$6230,0)),"",INDIRECT("'SorP'!$A$"&amp;MATCH($J442,SorP!$B$1:$B$6230,0))))</f>
        <v>JP-28</v>
      </c>
      <c r="U442" s="241"/>
      <c r="V442" s="275">
        <f>IF(C442="",NA(),MATCH($B442&amp;$C442,'Smelter Look-up'!$J:$J,0))</f>
        <v>345</v>
      </c>
      <c r="W442" s="276"/>
      <c r="X442" s="276">
        <f t="shared" si="61"/>
        <v>0</v>
      </c>
      <c r="Y442" s="276"/>
      <c r="Z442" s="276"/>
      <c r="AB442" s="278" t="str">
        <f t="shared" si="62"/>
        <v>TantalumTaki Chemical Co., Ltd.</v>
      </c>
    </row>
    <row r="443" spans="1:28" s="277" customFormat="1" ht="67.5">
      <c r="A443" s="216"/>
      <c r="B443" s="217" t="s">
        <v>1153</v>
      </c>
      <c r="C443" s="221" t="s">
        <v>1256</v>
      </c>
      <c r="D443" s="283" t="s">
        <v>1256</v>
      </c>
      <c r="E443" s="217" t="s">
        <v>1131</v>
      </c>
      <c r="F443" s="217" t="s">
        <v>748</v>
      </c>
      <c r="G443" s="217" t="s">
        <v>15513</v>
      </c>
      <c r="H443" s="218">
        <f ca="1">IF(ISERROR($V443),"",OFFSET('Smelter Look-up'!$G$4,$V443-4,0))</f>
        <v>0</v>
      </c>
      <c r="I443" s="219" t="str">
        <f ca="1">IF(ISERROR($V443),"",OFFSET('Smelter Look-up'!$H$4,$V443-4,0))</f>
        <v>Hiratsuka</v>
      </c>
      <c r="J443" s="219" t="str">
        <f ca="1">IF(ISERROR($V443),"",OFFSET('Smelter Look-up'!$I$4,$V443-4,0))</f>
        <v>Kanagawa</v>
      </c>
      <c r="K443" s="273"/>
      <c r="L443" s="273"/>
      <c r="M443" s="273"/>
      <c r="N443" s="273"/>
      <c r="O443" s="273"/>
      <c r="P443" s="220"/>
      <c r="Q443" s="274"/>
      <c r="R443" s="217" t="str">
        <f ca="1">IF(ISERROR($V443),"",OFFSET('Smelter Look-up'!$C$4,$V443-4,0)&amp;"")</f>
        <v>Tanaka Kikinzoku Kogyo K.K.</v>
      </c>
      <c r="S443" s="225" t="str">
        <f t="shared" ca="1" si="60"/>
        <v>JP</v>
      </c>
      <c r="T443" s="225" t="str">
        <f ca="1">IF(B443="","",IF(ISERROR(MATCH($J443,SorP!$B$1:$B$6230,0)),"",INDIRECT("'SorP'!$A$"&amp;MATCH($J443,SorP!$B$1:$B$6230,0))))</f>
        <v>JP-14</v>
      </c>
      <c r="U443" s="241"/>
      <c r="V443" s="275">
        <f>IF(C443="",NA(),MATCH($B443&amp;$C443,'Smelter Look-up'!$J:$J,0))</f>
        <v>252</v>
      </c>
      <c r="W443" s="276"/>
      <c r="X443" s="276">
        <f t="shared" si="61"/>
        <v>0</v>
      </c>
      <c r="Y443" s="276"/>
      <c r="Z443" s="276"/>
      <c r="AB443" s="278" t="str">
        <f t="shared" si="62"/>
        <v>GoldTanaka Kikinzoku Kogyo K.K.</v>
      </c>
    </row>
    <row r="444" spans="1:28" s="277" customFormat="1" ht="40.5">
      <c r="A444" s="216"/>
      <c r="B444" s="217" t="s">
        <v>1154</v>
      </c>
      <c r="C444" s="221" t="s">
        <v>1898</v>
      </c>
      <c r="D444" s="283" t="s">
        <v>15802</v>
      </c>
      <c r="E444" s="217" t="s">
        <v>2576</v>
      </c>
      <c r="F444" s="217" t="s">
        <v>14250</v>
      </c>
      <c r="G444" s="217" t="s">
        <v>14250</v>
      </c>
      <c r="H444" s="218">
        <f ca="1">IF(ISERROR($V444),"",OFFSET('Smelter Look-up'!$G$4,$V444-4,0))</f>
        <v>0</v>
      </c>
      <c r="I444" s="219">
        <f ca="1">IF(ISERROR($V444),"",OFFSET('Smelter Look-up'!$H$4,$V444-4,0))</f>
        <v>0</v>
      </c>
      <c r="J444" s="219">
        <f ca="1">IF(ISERROR($V444),"",OFFSET('Smelter Look-up'!$I$4,$V444-4,0))</f>
        <v>0</v>
      </c>
      <c r="K444" s="273"/>
      <c r="L444" s="273"/>
      <c r="M444" s="273"/>
      <c r="N444" s="273"/>
      <c r="O444" s="273"/>
      <c r="P444" s="220"/>
      <c r="Q444" s="274"/>
      <c r="R444" s="217" t="str">
        <f ca="1">IF(ISERROR($V444),"",OFFSET('Smelter Look-up'!$C$4,$V444-4,0)&amp;"")</f>
        <v/>
      </c>
      <c r="S444" s="225" t="str">
        <f t="shared" ca="1" si="60"/>
        <v>US</v>
      </c>
      <c r="T444" s="225" t="str">
        <f ca="1">IF(B444="","",IF(ISERROR(MATCH($J444,SorP!$B$1:$B$6230,0)),"",INDIRECT("'SorP'!$A$"&amp;MATCH($J444,SorP!$B$1:$B$6230,0))))</f>
        <v/>
      </c>
      <c r="U444" s="241"/>
      <c r="V444" s="275">
        <f>IF(C444="",NA(),MATCH($B444&amp;$C444,'Smelter Look-up'!$J:$J,0))</f>
        <v>484</v>
      </c>
      <c r="W444" s="276"/>
      <c r="X444" s="276">
        <f t="shared" si="61"/>
        <v>0</v>
      </c>
      <c r="Y444" s="276"/>
      <c r="Z444" s="276"/>
      <c r="AB444" s="278" t="str">
        <f t="shared" si="62"/>
        <v>TinSmelter not listed</v>
      </c>
    </row>
    <row r="445" spans="1:28" s="277" customFormat="1" ht="94.5">
      <c r="A445" s="216"/>
      <c r="B445" s="217" t="s">
        <v>1156</v>
      </c>
      <c r="C445" s="221" t="s">
        <v>2</v>
      </c>
      <c r="D445" s="283" t="s">
        <v>2</v>
      </c>
      <c r="E445" s="217" t="s">
        <v>915</v>
      </c>
      <c r="F445" s="217" t="s">
        <v>821</v>
      </c>
      <c r="G445" s="217" t="s">
        <v>15513</v>
      </c>
      <c r="H445" s="218">
        <f ca="1">IF(ISERROR($V445),"",OFFSET('Smelter Look-up'!$G$4,$V445-4,0))</f>
        <v>0</v>
      </c>
      <c r="I445" s="219" t="str">
        <f ca="1">IF(ISERROR($V445),"",OFFSET('Smelter Look-up'!$H$4,$V445-4,0))</f>
        <v>Halong City</v>
      </c>
      <c r="J445" s="219" t="str">
        <f ca="1">IF(ISERROR($V445),"",OFFSET('Smelter Look-up'!$I$4,$V445-4,0))</f>
        <v>Tây Ninh</v>
      </c>
      <c r="K445" s="273"/>
      <c r="L445" s="273"/>
      <c r="M445" s="273"/>
      <c r="N445" s="273"/>
      <c r="O445" s="273"/>
      <c r="P445" s="220"/>
      <c r="Q445" s="274"/>
      <c r="R445" s="217" t="str">
        <f ca="1">IF(ISERROR($V445),"",OFFSET('Smelter Look-up'!$C$4,$V445-4,0)&amp;"")</f>
        <v>Tejing (Vietnam) Tungsten Co., Ltd.</v>
      </c>
      <c r="S445" s="225" t="str">
        <f t="shared" ca="1" si="60"/>
        <v>VN</v>
      </c>
      <c r="T445" s="225" t="str">
        <f ca="1">IF(B445="","",IF(ISERROR(MATCH($J445,SorP!$B$1:$B$6230,0)),"",INDIRECT("'SorP'!$A$"&amp;MATCH($J445,SorP!$B$1:$B$6230,0))))</f>
        <v>VN-37</v>
      </c>
      <c r="U445" s="241"/>
      <c r="V445" s="275">
        <f>IF(C445="",NA(),MATCH($B445&amp;$C445,'Smelter Look-up'!$J:$J,0))</f>
        <v>549</v>
      </c>
      <c r="W445" s="276"/>
      <c r="X445" s="276">
        <f t="shared" si="61"/>
        <v>0</v>
      </c>
      <c r="Y445" s="276"/>
      <c r="Z445" s="276"/>
      <c r="AB445" s="278" t="str">
        <f t="shared" si="62"/>
        <v>TungstenTejing (Vietnam) Tungsten Co., Ltd.</v>
      </c>
    </row>
    <row r="446" spans="1:28" s="277" customFormat="1" ht="40.5">
      <c r="A446" s="216"/>
      <c r="B446" s="217" t="s">
        <v>1155</v>
      </c>
      <c r="C446" s="221" t="s">
        <v>1772</v>
      </c>
      <c r="D446" s="283" t="s">
        <v>1772</v>
      </c>
      <c r="E446" s="217" t="s">
        <v>2576</v>
      </c>
      <c r="F446" s="217" t="s">
        <v>781</v>
      </c>
      <c r="G446" s="217" t="s">
        <v>15513</v>
      </c>
      <c r="H446" s="218">
        <f ca="1">IF(ISERROR($V446),"",OFFSET('Smelter Look-up'!$G$4,$V446-4,0))</f>
        <v>0</v>
      </c>
      <c r="I446" s="219" t="str">
        <f ca="1">IF(ISERROR($V446),"",OFFSET('Smelter Look-up'!$H$4,$V446-4,0))</f>
        <v>Croydon</v>
      </c>
      <c r="J446" s="219" t="str">
        <f ca="1">IF(ISERROR($V446),"",OFFSET('Smelter Look-up'!$I$4,$V446-4,0))</f>
        <v>Pennsylvania</v>
      </c>
      <c r="K446" s="273"/>
      <c r="L446" s="273"/>
      <c r="M446" s="273"/>
      <c r="N446" s="273"/>
      <c r="O446" s="273"/>
      <c r="P446" s="220"/>
      <c r="Q446" s="274"/>
      <c r="R446" s="217" t="str">
        <f ca="1">IF(ISERROR($V446),"",OFFSET('Smelter Look-up'!$C$4,$V446-4,0)&amp;"")</f>
        <v>Telex Metals</v>
      </c>
      <c r="S446" s="225" t="str">
        <f t="shared" ca="1" si="60"/>
        <v>US</v>
      </c>
      <c r="T446" s="225" t="str">
        <f ca="1">IF(B446="","",IF(ISERROR(MATCH($J446,SorP!$B$1:$B$6230,0)),"",INDIRECT("'SorP'!$A$"&amp;MATCH($J446,SorP!$B$1:$B$6230,0))))</f>
        <v>US-PA</v>
      </c>
      <c r="U446" s="241"/>
      <c r="V446" s="275">
        <f>IF(C446="",NA(),MATCH($B446&amp;$C446,'Smelter Look-up'!$J:$J,0))</f>
        <v>347</v>
      </c>
      <c r="W446" s="276"/>
      <c r="X446" s="276">
        <f t="shared" si="61"/>
        <v>0</v>
      </c>
      <c r="Y446" s="276"/>
      <c r="Z446" s="276"/>
      <c r="AB446" s="278" t="str">
        <f t="shared" si="62"/>
        <v>TantalumTelex Metals</v>
      </c>
    </row>
    <row r="447" spans="1:28" s="277" customFormat="1" ht="94.5">
      <c r="A447" s="216"/>
      <c r="B447" s="217" t="s">
        <v>1154</v>
      </c>
      <c r="C447" s="221" t="s">
        <v>14159</v>
      </c>
      <c r="D447" s="283" t="s">
        <v>14159</v>
      </c>
      <c r="E447" s="217" t="s">
        <v>915</v>
      </c>
      <c r="F447" s="217" t="s">
        <v>14160</v>
      </c>
      <c r="G447" s="217" t="s">
        <v>14250</v>
      </c>
      <c r="H447" s="218">
        <f ca="1">IF(ISERROR($V447),"",OFFSET('Smelter Look-up'!$G$4,$V447-4,0))</f>
        <v>0</v>
      </c>
      <c r="I447" s="219" t="str">
        <f ca="1">IF(ISERROR($V447),"",OFFSET('Smelter Look-up'!$H$4,$V447-4,0))</f>
        <v>Thai Nguyen</v>
      </c>
      <c r="J447" s="219" t="str">
        <f ca="1">IF(ISERROR($V447),"",OFFSET('Smelter Look-up'!$I$4,$V447-4,0))</f>
        <v>Thái Nguyên</v>
      </c>
      <c r="K447" s="273"/>
      <c r="L447" s="273"/>
      <c r="M447" s="273"/>
      <c r="N447" s="273"/>
      <c r="O447" s="273"/>
      <c r="P447" s="220"/>
      <c r="Q447" s="274"/>
      <c r="R447" s="217" t="str">
        <f ca="1">IF(ISERROR($V447),"",OFFSET('Smelter Look-up'!$C$4,$V447-4,0)&amp;"")</f>
        <v>Thai Nguyen Mining and Metallurgy Co., Ltd.</v>
      </c>
      <c r="S447" s="225" t="str">
        <f t="shared" ca="1" si="60"/>
        <v>VN</v>
      </c>
      <c r="T447" s="225" t="str">
        <f ca="1">IF(B447="","",IF(ISERROR(MATCH($J447,SorP!$B$1:$B$6230,0)),"",INDIRECT("'SorP'!$A$"&amp;MATCH($J447,SorP!$B$1:$B$6230,0))))</f>
        <v>VN-69</v>
      </c>
      <c r="U447" s="241"/>
      <c r="V447" s="275">
        <f>IF(C447="",NA(),MATCH($B447&amp;$C447,'Smelter Look-up'!$J:$J,0))</f>
        <v>455</v>
      </c>
      <c r="W447" s="276"/>
      <c r="X447" s="276">
        <f t="shared" si="61"/>
        <v>0</v>
      </c>
      <c r="Y447" s="276"/>
      <c r="Z447" s="276"/>
      <c r="AB447" s="278" t="str">
        <f t="shared" si="62"/>
        <v>TinThai Nguyen Mining and Metallurgy Co., Ltd.</v>
      </c>
    </row>
    <row r="448" spans="1:28" s="277" customFormat="1" ht="40.5">
      <c r="A448" s="216"/>
      <c r="B448" s="217" t="s">
        <v>1154</v>
      </c>
      <c r="C448" s="221" t="s">
        <v>1898</v>
      </c>
      <c r="D448" s="283" t="s">
        <v>15803</v>
      </c>
      <c r="E448" s="217" t="s">
        <v>911</v>
      </c>
      <c r="F448" s="217" t="s">
        <v>14250</v>
      </c>
      <c r="G448" s="217" t="s">
        <v>14250</v>
      </c>
      <c r="H448" s="218">
        <f ca="1">IF(ISERROR($V448),"",OFFSET('Smelter Look-up'!$G$4,$V448-4,0))</f>
        <v>0</v>
      </c>
      <c r="I448" s="219">
        <f ca="1">IF(ISERROR($V448),"",OFFSET('Smelter Look-up'!$H$4,$V448-4,0))</f>
        <v>0</v>
      </c>
      <c r="J448" s="219">
        <f ca="1">IF(ISERROR($V448),"",OFFSET('Smelter Look-up'!$I$4,$V448-4,0))</f>
        <v>0</v>
      </c>
      <c r="K448" s="273"/>
      <c r="L448" s="273"/>
      <c r="M448" s="273"/>
      <c r="N448" s="273"/>
      <c r="O448" s="273"/>
      <c r="P448" s="220"/>
      <c r="Q448" s="274"/>
      <c r="R448" s="217" t="str">
        <f ca="1">IF(ISERROR($V448),"",OFFSET('Smelter Look-up'!$C$4,$V448-4,0)&amp;"")</f>
        <v/>
      </c>
      <c r="S448" s="225" t="str">
        <f t="shared" ca="1" si="60"/>
        <v>TH</v>
      </c>
      <c r="T448" s="225" t="str">
        <f ca="1">IF(B448="","",IF(ISERROR(MATCH($J448,SorP!$B$1:$B$6230,0)),"",INDIRECT("'SorP'!$A$"&amp;MATCH($J448,SorP!$B$1:$B$6230,0))))</f>
        <v/>
      </c>
      <c r="U448" s="241"/>
      <c r="V448" s="275">
        <f>IF(C448="",NA(),MATCH($B448&amp;$C448,'Smelter Look-up'!$J:$J,0))</f>
        <v>484</v>
      </c>
      <c r="W448" s="276"/>
      <c r="X448" s="276">
        <f t="shared" si="61"/>
        <v>0</v>
      </c>
      <c r="Y448" s="276"/>
      <c r="Z448" s="276"/>
      <c r="AB448" s="278" t="str">
        <f t="shared" si="62"/>
        <v>TinSmelter not listed</v>
      </c>
    </row>
    <row r="449" spans="1:28" s="277" customFormat="1" ht="27">
      <c r="A449" s="216"/>
      <c r="B449" s="217" t="s">
        <v>1154</v>
      </c>
      <c r="C449" s="221" t="s">
        <v>1054</v>
      </c>
      <c r="D449" s="283" t="s">
        <v>1054</v>
      </c>
      <c r="E449" s="217" t="s">
        <v>911</v>
      </c>
      <c r="F449" s="217" t="s">
        <v>806</v>
      </c>
      <c r="G449" s="217" t="s">
        <v>15513</v>
      </c>
      <c r="H449" s="218">
        <f ca="1">IF(ISERROR($V449),"",OFFSET('Smelter Look-up'!$G$4,$V449-4,0))</f>
        <v>0</v>
      </c>
      <c r="I449" s="219" t="str">
        <f ca="1">IF(ISERROR($V449),"",OFFSET('Smelter Look-up'!$H$4,$V449-4,0))</f>
        <v>Amphur Muang</v>
      </c>
      <c r="J449" s="219" t="str">
        <f ca="1">IF(ISERROR($V449),"",OFFSET('Smelter Look-up'!$I$4,$V449-4,0))</f>
        <v>Phuket</v>
      </c>
      <c r="K449" s="273"/>
      <c r="L449" s="273"/>
      <c r="M449" s="273"/>
      <c r="N449" s="273"/>
      <c r="O449" s="273"/>
      <c r="P449" s="220"/>
      <c r="Q449" s="274"/>
      <c r="R449" s="217" t="str">
        <f ca="1">IF(ISERROR($V449),"",OFFSET('Smelter Look-up'!$C$4,$V449-4,0)&amp;"")</f>
        <v>Thaisarco</v>
      </c>
      <c r="S449" s="225" t="str">
        <f t="shared" ca="1" si="60"/>
        <v>TH</v>
      </c>
      <c r="T449" s="225" t="str">
        <f ca="1">IF(B449="","",IF(ISERROR(MATCH($J449,SorP!$B$1:$B$6230,0)),"",INDIRECT("'SorP'!$A$"&amp;MATCH($J449,SorP!$B$1:$B$6230,0))))</f>
        <v>TH-83</v>
      </c>
      <c r="U449" s="241"/>
      <c r="V449" s="275">
        <f>IF(C449="",NA(),MATCH($B449&amp;$C449,'Smelter Look-up'!$J:$J,0))</f>
        <v>458</v>
      </c>
      <c r="W449" s="276"/>
      <c r="X449" s="276">
        <f t="shared" si="61"/>
        <v>0</v>
      </c>
      <c r="Y449" s="276"/>
      <c r="Z449" s="276"/>
      <c r="AB449" s="278" t="str">
        <f t="shared" si="62"/>
        <v>TinThaisarco</v>
      </c>
    </row>
    <row r="450" spans="1:28" s="277" customFormat="1" ht="94.5">
      <c r="A450" s="216"/>
      <c r="B450" s="217" t="s">
        <v>1153</v>
      </c>
      <c r="C450" s="221" t="s">
        <v>2268</v>
      </c>
      <c r="D450" s="283" t="s">
        <v>2268</v>
      </c>
      <c r="E450" s="217" t="s">
        <v>1123</v>
      </c>
      <c r="F450" s="217" t="s">
        <v>750</v>
      </c>
      <c r="G450" s="217" t="s">
        <v>15513</v>
      </c>
      <c r="H450" s="218">
        <f ca="1">IF(ISERROR($V450),"",OFFSET('Smelter Look-up'!$G$4,$V450-4,0))</f>
        <v>0</v>
      </c>
      <c r="I450" s="219" t="str">
        <f ca="1">IF(ISERROR($V450),"",OFFSET('Smelter Look-up'!$H$4,$V450-4,0))</f>
        <v>Laizhou</v>
      </c>
      <c r="J450" s="219" t="str">
        <f ca="1">IF(ISERROR($V450),"",OFFSET('Smelter Look-up'!$I$4,$V450-4,0))</f>
        <v>Shandong Sheng</v>
      </c>
      <c r="K450" s="273"/>
      <c r="L450" s="273"/>
      <c r="M450" s="273"/>
      <c r="N450" s="273"/>
      <c r="O450" s="273"/>
      <c r="P450" s="220"/>
      <c r="Q450" s="274"/>
      <c r="R450" s="217" t="str">
        <f ca="1">IF(ISERROR($V450),"",OFFSET('Smelter Look-up'!$C$4,$V450-4,0)&amp;"")</f>
        <v>The Refinery of Shandong Gold Mining Co., Ltd.</v>
      </c>
      <c r="S450" s="225" t="str">
        <f t="shared" ca="1" si="60"/>
        <v>CN</v>
      </c>
      <c r="T450" s="225" t="str">
        <f ca="1">IF(B450="","",IF(ISERROR(MATCH($J450,SorP!$B$1:$B$6230,0)),"",INDIRECT("'SorP'!$A$"&amp;MATCH($J450,SorP!$B$1:$B$6230,0))))</f>
        <v>CN-SD</v>
      </c>
      <c r="U450" s="241"/>
      <c r="V450" s="275">
        <f>IF(C450="",NA(),MATCH($B450&amp;$C450,'Smelter Look-up'!$J:$J,0))</f>
        <v>256</v>
      </c>
      <c r="W450" s="276"/>
      <c r="X450" s="276">
        <f t="shared" si="61"/>
        <v>0</v>
      </c>
      <c r="Y450" s="276"/>
      <c r="Z450" s="276"/>
      <c r="AB450" s="278" t="str">
        <f t="shared" si="62"/>
        <v>GoldThe Refinery of Shandong Gold Mining Co., Ltd.</v>
      </c>
    </row>
    <row r="451" spans="1:28" s="277" customFormat="1" ht="40.5">
      <c r="A451" s="216"/>
      <c r="B451" s="217" t="s">
        <v>1154</v>
      </c>
      <c r="C451" s="221" t="s">
        <v>1898</v>
      </c>
      <c r="D451" s="283" t="s">
        <v>15804</v>
      </c>
      <c r="E451" s="217" t="s">
        <v>1123</v>
      </c>
      <c r="F451" s="217" t="s">
        <v>14250</v>
      </c>
      <c r="G451" s="217" t="s">
        <v>14250</v>
      </c>
      <c r="H451" s="218">
        <f ca="1">IF(ISERROR($V451),"",OFFSET('Smelter Look-up'!$G$4,$V451-4,0))</f>
        <v>0</v>
      </c>
      <c r="I451" s="219">
        <f ca="1">IF(ISERROR($V451),"",OFFSET('Smelter Look-up'!$H$4,$V451-4,0))</f>
        <v>0</v>
      </c>
      <c r="J451" s="219">
        <f ca="1">IF(ISERROR($V451),"",OFFSET('Smelter Look-up'!$I$4,$V451-4,0))</f>
        <v>0</v>
      </c>
      <c r="K451" s="273"/>
      <c r="L451" s="273"/>
      <c r="M451" s="273"/>
      <c r="N451" s="273"/>
      <c r="O451" s="273"/>
      <c r="P451" s="220"/>
      <c r="Q451" s="274"/>
      <c r="R451" s="217" t="str">
        <f ca="1">IF(ISERROR($V451),"",OFFSET('Smelter Look-up'!$C$4,$V451-4,0)&amp;"")</f>
        <v/>
      </c>
      <c r="S451" s="225" t="str">
        <f t="shared" ca="1" si="60"/>
        <v>CN</v>
      </c>
      <c r="T451" s="225" t="str">
        <f ca="1">IF(B451="","",IF(ISERROR(MATCH($J451,SorP!$B$1:$B$6230,0)),"",INDIRECT("'SorP'!$A$"&amp;MATCH($J451,SorP!$B$1:$B$6230,0))))</f>
        <v/>
      </c>
      <c r="U451" s="241"/>
      <c r="V451" s="275">
        <f>IF(C451="",NA(),MATCH($B451&amp;$C451,'Smelter Look-up'!$J:$J,0))</f>
        <v>484</v>
      </c>
      <c r="W451" s="276"/>
      <c r="X451" s="276">
        <f t="shared" si="61"/>
        <v>0</v>
      </c>
      <c r="Y451" s="276"/>
      <c r="Z451" s="276"/>
      <c r="AB451" s="278" t="str">
        <f t="shared" si="62"/>
        <v>TinSmelter not listed</v>
      </c>
    </row>
    <row r="452" spans="1:28" s="277" customFormat="1" ht="40.5">
      <c r="A452" s="216"/>
      <c r="B452" s="217" t="s">
        <v>1154</v>
      </c>
      <c r="C452" s="221" t="s">
        <v>1898</v>
      </c>
      <c r="D452" s="283" t="s">
        <v>15805</v>
      </c>
      <c r="E452" s="217" t="s">
        <v>1123</v>
      </c>
      <c r="F452" s="217" t="s">
        <v>14250</v>
      </c>
      <c r="G452" s="217" t="s">
        <v>14250</v>
      </c>
      <c r="H452" s="218">
        <f ca="1">IF(ISERROR($V452),"",OFFSET('Smelter Look-up'!$G$4,$V452-4,0))</f>
        <v>0</v>
      </c>
      <c r="I452" s="219">
        <f ca="1">IF(ISERROR($V452),"",OFFSET('Smelter Look-up'!$H$4,$V452-4,0))</f>
        <v>0</v>
      </c>
      <c r="J452" s="219">
        <f ca="1">IF(ISERROR($V452),"",OFFSET('Smelter Look-up'!$I$4,$V452-4,0))</f>
        <v>0</v>
      </c>
      <c r="K452" s="273"/>
      <c r="L452" s="273"/>
      <c r="M452" s="273"/>
      <c r="N452" s="273"/>
      <c r="O452" s="273"/>
      <c r="P452" s="220"/>
      <c r="Q452" s="274"/>
      <c r="R452" s="217" t="str">
        <f ca="1">IF(ISERROR($V452),"",OFFSET('Smelter Look-up'!$C$4,$V452-4,0)&amp;"")</f>
        <v/>
      </c>
      <c r="S452" s="225" t="str">
        <f t="shared" ca="1" si="60"/>
        <v>CN</v>
      </c>
      <c r="T452" s="225" t="str">
        <f ca="1">IF(B452="","",IF(ISERROR(MATCH($J452,SorP!$B$1:$B$6230,0)),"",INDIRECT("'SorP'!$A$"&amp;MATCH($J452,SorP!$B$1:$B$6230,0))))</f>
        <v/>
      </c>
      <c r="U452" s="241"/>
      <c r="V452" s="275">
        <f>IF(C452="",NA(),MATCH($B452&amp;$C452,'Smelter Look-up'!$J:$J,0))</f>
        <v>484</v>
      </c>
      <c r="W452" s="276"/>
      <c r="X452" s="276">
        <f t="shared" si="61"/>
        <v>0</v>
      </c>
      <c r="Y452" s="276"/>
      <c r="Z452" s="276"/>
      <c r="AB452" s="278" t="str">
        <f t="shared" si="62"/>
        <v>TinSmelter not listed</v>
      </c>
    </row>
    <row r="453" spans="1:28" s="277" customFormat="1" ht="40.5">
      <c r="A453" s="216"/>
      <c r="B453" s="217" t="s">
        <v>1154</v>
      </c>
      <c r="C453" s="221" t="s">
        <v>1898</v>
      </c>
      <c r="D453" s="283" t="s">
        <v>15806</v>
      </c>
      <c r="E453" s="217" t="s">
        <v>1123</v>
      </c>
      <c r="F453" s="217" t="s">
        <v>14250</v>
      </c>
      <c r="G453" s="217" t="s">
        <v>14250</v>
      </c>
      <c r="H453" s="218">
        <f ca="1">IF(ISERROR($V453),"",OFFSET('Smelter Look-up'!$G$4,$V453-4,0))</f>
        <v>0</v>
      </c>
      <c r="I453" s="219">
        <f ca="1">IF(ISERROR($V453),"",OFFSET('Smelter Look-up'!$H$4,$V453-4,0))</f>
        <v>0</v>
      </c>
      <c r="J453" s="219">
        <f ca="1">IF(ISERROR($V453),"",OFFSET('Smelter Look-up'!$I$4,$V453-4,0))</f>
        <v>0</v>
      </c>
      <c r="K453" s="273"/>
      <c r="L453" s="273"/>
      <c r="M453" s="273"/>
      <c r="N453" s="273"/>
      <c r="O453" s="273"/>
      <c r="P453" s="220"/>
      <c r="Q453" s="274"/>
      <c r="R453" s="217" t="str">
        <f ca="1">IF(ISERROR($V453),"",OFFSET('Smelter Look-up'!$C$4,$V453-4,0)&amp;"")</f>
        <v/>
      </c>
      <c r="S453" s="225" t="str">
        <f t="shared" ref="S453" ca="1" si="63">IF(B453="","",IF(ISERROR(MATCH($E453,CL,0)),"Unknown",INDIRECT("'C'!$A$"&amp;MATCH($E453,CL,0)+1)))</f>
        <v>CN</v>
      </c>
      <c r="T453" s="225" t="str">
        <f ca="1">IF(B453="","",IF(ISERROR(MATCH($J453,SorP!$B$1:$B$6230,0)),"",INDIRECT("'SorP'!$A$"&amp;MATCH($J453,SorP!$B$1:$B$6230,0))))</f>
        <v/>
      </c>
      <c r="U453" s="241"/>
      <c r="V453" s="275">
        <f>IF(C453="",NA(),MATCH($B453&amp;$C453,'Smelter Look-up'!$J:$J,0))</f>
        <v>484</v>
      </c>
      <c r="W453" s="276"/>
      <c r="X453" s="276">
        <f t="shared" ref="X453" si="64">IF(AND(C453="Smelter not listed",OR(LEN(D453)=0,LEN(E453)=0)),1,0)</f>
        <v>0</v>
      </c>
      <c r="Y453" s="276"/>
      <c r="Z453" s="276"/>
      <c r="AB453" s="278" t="str">
        <f t="shared" ref="AB453" si="65">B453&amp;C453</f>
        <v>TinSmelter not listed</v>
      </c>
    </row>
    <row r="454" spans="1:28" s="277" customFormat="1" ht="54">
      <c r="A454" s="216"/>
      <c r="B454" s="217" t="s">
        <v>1154</v>
      </c>
      <c r="C454" s="221" t="s">
        <v>13520</v>
      </c>
      <c r="D454" s="283" t="s">
        <v>13520</v>
      </c>
      <c r="E454" s="217" t="s">
        <v>2576</v>
      </c>
      <c r="F454" s="217" t="s">
        <v>13521</v>
      </c>
      <c r="G454" s="217" t="s">
        <v>13577</v>
      </c>
      <c r="H454" s="218">
        <f ca="1">IF(ISERROR($V454),"",OFFSET('Smelter Look-up'!$G$4,$V454-4,0))</f>
        <v>0</v>
      </c>
      <c r="I454" s="219" t="str">
        <f ca="1">IF(ISERROR($V454),"",OFFSET('Smelter Look-up'!$H$4,$V454-4,0))</f>
        <v>West Chester</v>
      </c>
      <c r="J454" s="219" t="str">
        <f ca="1">IF(ISERROR($V454),"",OFFSET('Smelter Look-up'!$I$4,$V454-4,0))</f>
        <v>Pennsylvania</v>
      </c>
      <c r="K454" s="273"/>
      <c r="L454" s="273"/>
      <c r="M454" s="273"/>
      <c r="N454" s="273"/>
      <c r="O454" s="273"/>
      <c r="P454" s="220"/>
      <c r="Q454" s="274"/>
      <c r="R454" s="217" t="str">
        <f ca="1">IF(ISERROR($V454),"",OFFSET('Smelter Look-up'!$C$4,$V454-4,0)&amp;"")</f>
        <v>Tin Technology &amp; Refining</v>
      </c>
      <c r="S454" s="225" t="str">
        <f t="shared" ref="S454:S485" ca="1" si="66">IF(B454="","",IF(ISERROR(MATCH($E454,CL,0)),"Unknown",INDIRECT("'C'!$A$"&amp;MATCH($E454,CL,0)+1)))</f>
        <v>US</v>
      </c>
      <c r="T454" s="225" t="str">
        <f ca="1">IF(B454="","",IF(ISERROR(MATCH($J454,SorP!$B$1:$B$6230,0)),"",INDIRECT("'SorP'!$A$"&amp;MATCH($J454,SorP!$B$1:$B$6230,0))))</f>
        <v>US-PA</v>
      </c>
      <c r="U454" s="241"/>
      <c r="V454" s="275">
        <f>IF(C454="",NA(),MATCH($B454&amp;$C454,'Smelter Look-up'!$J:$J,0))</f>
        <v>461</v>
      </c>
      <c r="W454" s="276"/>
      <c r="X454" s="276">
        <f t="shared" ref="X454:X485" si="67">IF(AND(C454="Smelter not listed",OR(LEN(D454)=0,LEN(E454)=0)),1,0)</f>
        <v>0</v>
      </c>
      <c r="Y454" s="276"/>
      <c r="Z454" s="276"/>
      <c r="AB454" s="278" t="str">
        <f t="shared" ref="AB454:AB485" si="68">B454&amp;C454</f>
        <v>TinTin Technology &amp; Refining</v>
      </c>
    </row>
    <row r="455" spans="1:28" s="277" customFormat="1" ht="54">
      <c r="A455" s="216"/>
      <c r="B455" s="217" t="s">
        <v>1153</v>
      </c>
      <c r="C455" s="221" t="s">
        <v>2269</v>
      </c>
      <c r="D455" s="283" t="s">
        <v>2269</v>
      </c>
      <c r="E455" s="217" t="s">
        <v>1131</v>
      </c>
      <c r="F455" s="217" t="s">
        <v>751</v>
      </c>
      <c r="G455" s="217" t="s">
        <v>15513</v>
      </c>
      <c r="H455" s="218">
        <f ca="1">IF(ISERROR($V455),"",OFFSET('Smelter Look-up'!$G$4,$V455-4,0))</f>
        <v>0</v>
      </c>
      <c r="I455" s="219" t="str">
        <f ca="1">IF(ISERROR($V455),"",OFFSET('Smelter Look-up'!$H$4,$V455-4,0))</f>
        <v>Kuki</v>
      </c>
      <c r="J455" s="219" t="str">
        <f ca="1">IF(ISERROR($V455),"",OFFSET('Smelter Look-up'!$I$4,$V455-4,0))</f>
        <v>Saitama</v>
      </c>
      <c r="K455" s="273"/>
      <c r="L455" s="273"/>
      <c r="M455" s="273"/>
      <c r="N455" s="273"/>
      <c r="O455" s="273"/>
      <c r="P455" s="220"/>
      <c r="Q455" s="274"/>
      <c r="R455" s="217" t="str">
        <f ca="1">IF(ISERROR($V455),"",OFFSET('Smelter Look-up'!$C$4,$V455-4,0)&amp;"")</f>
        <v>Tokuriki Honten Co., Ltd.</v>
      </c>
      <c r="S455" s="225" t="str">
        <f t="shared" ca="1" si="66"/>
        <v>JP</v>
      </c>
      <c r="T455" s="225" t="str">
        <f ca="1">IF(B455="","",IF(ISERROR(MATCH($J455,SorP!$B$1:$B$6230,0)),"",INDIRECT("'SorP'!$A$"&amp;MATCH($J455,SorP!$B$1:$B$6230,0))))</f>
        <v>JP-11</v>
      </c>
      <c r="U455" s="241"/>
      <c r="V455" s="275">
        <f>IF(C455="",NA(),MATCH($B455&amp;$C455,'Smelter Look-up'!$J:$J,0))</f>
        <v>257</v>
      </c>
      <c r="W455" s="276"/>
      <c r="X455" s="276">
        <f t="shared" si="67"/>
        <v>0</v>
      </c>
      <c r="Y455" s="276"/>
      <c r="Z455" s="276"/>
      <c r="AB455" s="278" t="str">
        <f t="shared" si="68"/>
        <v>GoldTokuriki Honten Co., Ltd.</v>
      </c>
    </row>
    <row r="456" spans="1:28" s="277" customFormat="1" ht="40.5">
      <c r="A456" s="216"/>
      <c r="B456" s="217" t="s">
        <v>1154</v>
      </c>
      <c r="C456" s="221" t="s">
        <v>1898</v>
      </c>
      <c r="D456" s="283" t="s">
        <v>15807</v>
      </c>
      <c r="E456" s="217" t="s">
        <v>1123</v>
      </c>
      <c r="F456" s="217" t="s">
        <v>14250</v>
      </c>
      <c r="G456" s="217" t="s">
        <v>14250</v>
      </c>
      <c r="H456" s="218">
        <f ca="1">IF(ISERROR($V456),"",OFFSET('Smelter Look-up'!$G$4,$V456-4,0))</f>
        <v>0</v>
      </c>
      <c r="I456" s="219">
        <f ca="1">IF(ISERROR($V456),"",OFFSET('Smelter Look-up'!$H$4,$V456-4,0))</f>
        <v>0</v>
      </c>
      <c r="J456" s="219">
        <f ca="1">IF(ISERROR($V456),"",OFFSET('Smelter Look-up'!$I$4,$V456-4,0))</f>
        <v>0</v>
      </c>
      <c r="K456" s="273"/>
      <c r="L456" s="273"/>
      <c r="M456" s="273"/>
      <c r="N456" s="273"/>
      <c r="O456" s="273"/>
      <c r="P456" s="220"/>
      <c r="Q456" s="274"/>
      <c r="R456" s="217" t="str">
        <f ca="1">IF(ISERROR($V456),"",OFFSET('Smelter Look-up'!$C$4,$V456-4,0)&amp;"")</f>
        <v/>
      </c>
      <c r="S456" s="225" t="str">
        <f t="shared" ca="1" si="66"/>
        <v>CN</v>
      </c>
      <c r="T456" s="225" t="str">
        <f ca="1">IF(B456="","",IF(ISERROR(MATCH($J456,SorP!$B$1:$B$6230,0)),"",INDIRECT("'SorP'!$A$"&amp;MATCH($J456,SorP!$B$1:$B$6230,0))))</f>
        <v/>
      </c>
      <c r="U456" s="241"/>
      <c r="V456" s="275">
        <f>IF(C456="",NA(),MATCH($B456&amp;$C456,'Smelter Look-up'!$J:$J,0))</f>
        <v>484</v>
      </c>
      <c r="W456" s="276"/>
      <c r="X456" s="276">
        <f t="shared" si="67"/>
        <v>0</v>
      </c>
      <c r="Y456" s="276"/>
      <c r="Z456" s="276"/>
      <c r="AB456" s="278" t="str">
        <f t="shared" si="68"/>
        <v>TinSmelter not listed</v>
      </c>
    </row>
    <row r="457" spans="1:28" s="277" customFormat="1" ht="94.5">
      <c r="A457" s="216"/>
      <c r="B457" s="217" t="s">
        <v>1153</v>
      </c>
      <c r="C457" s="221" t="s">
        <v>2306</v>
      </c>
      <c r="D457" s="283" t="s">
        <v>2306</v>
      </c>
      <c r="E457" s="217" t="s">
        <v>1123</v>
      </c>
      <c r="F457" s="217" t="s">
        <v>752</v>
      </c>
      <c r="G457" s="217" t="s">
        <v>15513</v>
      </c>
      <c r="H457" s="218">
        <f ca="1">IF(ISERROR($V457),"",OFFSET('Smelter Look-up'!$G$4,$V457-4,0))</f>
        <v>0</v>
      </c>
      <c r="I457" s="219" t="str">
        <f ca="1">IF(ISERROR($V457),"",OFFSET('Smelter Look-up'!$H$4,$V457-4,0))</f>
        <v>Tongling</v>
      </c>
      <c r="J457" s="219" t="str">
        <f ca="1">IF(ISERROR($V457),"",OFFSET('Smelter Look-up'!$I$4,$V457-4,0))</f>
        <v>Anhui Sheng</v>
      </c>
      <c r="K457" s="273"/>
      <c r="L457" s="273"/>
      <c r="M457" s="273"/>
      <c r="N457" s="273"/>
      <c r="O457" s="273"/>
      <c r="P457" s="220"/>
      <c r="Q457" s="274"/>
      <c r="R457" s="217" t="str">
        <f ca="1">IF(ISERROR($V457),"",OFFSET('Smelter Look-up'!$C$4,$V457-4,0)&amp;"")</f>
        <v>Tongling Nonferrous Metals Group Co., Ltd.</v>
      </c>
      <c r="S457" s="225" t="str">
        <f t="shared" ca="1" si="66"/>
        <v>CN</v>
      </c>
      <c r="T457" s="225" t="str">
        <f ca="1">IF(B457="","",IF(ISERROR(MATCH($J457,SorP!$B$1:$B$6230,0)),"",INDIRECT("'SorP'!$A$"&amp;MATCH($J457,SorP!$B$1:$B$6230,0))))</f>
        <v>CN-AH</v>
      </c>
      <c r="U457" s="241"/>
      <c r="V457" s="275">
        <f>IF(C457="",NA(),MATCH($B457&amp;$C457,'Smelter Look-up'!$J:$J,0))</f>
        <v>258</v>
      </c>
      <c r="W457" s="276"/>
      <c r="X457" s="276">
        <f t="shared" si="67"/>
        <v>0</v>
      </c>
      <c r="Y457" s="276"/>
      <c r="Z457" s="276"/>
      <c r="AB457" s="278" t="str">
        <f t="shared" si="68"/>
        <v>GoldTongling Nonferrous Metals Group Co., Ltd.</v>
      </c>
    </row>
    <row r="458" spans="1:28" s="277" customFormat="1" ht="40.5">
      <c r="A458" s="216"/>
      <c r="B458" s="217" t="s">
        <v>1153</v>
      </c>
      <c r="C458" s="221" t="s">
        <v>2373</v>
      </c>
      <c r="D458" s="283" t="s">
        <v>2373</v>
      </c>
      <c r="E458" s="217" t="s">
        <v>1118</v>
      </c>
      <c r="F458" s="217" t="s">
        <v>2374</v>
      </c>
      <c r="G458" s="217" t="s">
        <v>15513</v>
      </c>
      <c r="H458" s="218">
        <f ca="1">IF(ISERROR($V458),"",OFFSET('Smelter Look-up'!$G$4,$V458-4,0))</f>
        <v>0</v>
      </c>
      <c r="I458" s="219" t="str">
        <f ca="1">IF(ISERROR($V458),"",OFFSET('Smelter Look-up'!$H$4,$V458-4,0))</f>
        <v>Antwerp</v>
      </c>
      <c r="J458" s="219" t="str">
        <f ca="1">IF(ISERROR($V458),"",OFFSET('Smelter Look-up'!$I$4,$V458-4,0))</f>
        <v>Antwerpen</v>
      </c>
      <c r="K458" s="273"/>
      <c r="L458" s="273"/>
      <c r="M458" s="273"/>
      <c r="N458" s="273"/>
      <c r="O458" s="273"/>
      <c r="P458" s="220"/>
      <c r="Q458" s="274"/>
      <c r="R458" s="217" t="str">
        <f ca="1">IF(ISERROR($V458),"",OFFSET('Smelter Look-up'!$C$4,$V458-4,0)&amp;"")</f>
        <v>Tony Goetz NV</v>
      </c>
      <c r="S458" s="225" t="str">
        <f t="shared" ca="1" si="66"/>
        <v>BE</v>
      </c>
      <c r="T458" s="225" t="str">
        <f ca="1">IF(B458="","",IF(ISERROR(MATCH($J458,SorP!$B$1:$B$6230,0)),"",INDIRECT("'SorP'!$A$"&amp;MATCH($J458,SorP!$B$1:$B$6230,0))))</f>
        <v>BE-VAN</v>
      </c>
      <c r="U458" s="241"/>
      <c r="V458" s="275">
        <f>IF(C458="",NA(),MATCH($B458&amp;$C458,'Smelter Look-up'!$J:$J,0))</f>
        <v>260</v>
      </c>
      <c r="W458" s="276"/>
      <c r="X458" s="276">
        <f t="shared" si="67"/>
        <v>0</v>
      </c>
      <c r="Y458" s="276"/>
      <c r="Z458" s="276"/>
      <c r="AB458" s="278" t="str">
        <f t="shared" si="68"/>
        <v>GoldTony Goetz NV</v>
      </c>
    </row>
    <row r="459" spans="1:28" s="277" customFormat="1" ht="40.5">
      <c r="A459" s="216"/>
      <c r="B459" s="217" t="s">
        <v>1153</v>
      </c>
      <c r="C459" s="221" t="s">
        <v>2454</v>
      </c>
      <c r="D459" s="283" t="s">
        <v>2454</v>
      </c>
      <c r="E459" s="217" t="s">
        <v>1132</v>
      </c>
      <c r="F459" s="217" t="s">
        <v>2455</v>
      </c>
      <c r="G459" s="217" t="s">
        <v>15513</v>
      </c>
      <c r="H459" s="218">
        <f ca="1">IF(ISERROR($V459),"",OFFSET('Smelter Look-up'!$G$4,$V459-4,0))</f>
        <v>0</v>
      </c>
      <c r="I459" s="219" t="str">
        <f ca="1">IF(ISERROR($V459),"",OFFSET('Smelter Look-up'!$H$4,$V459-4,0))</f>
        <v>Astana</v>
      </c>
      <c r="J459" s="219" t="str">
        <f ca="1">IF(ISERROR($V459),"",OFFSET('Smelter Look-up'!$I$4,$V459-4,0))</f>
        <v>Almaty</v>
      </c>
      <c r="K459" s="273"/>
      <c r="L459" s="273"/>
      <c r="M459" s="273"/>
      <c r="N459" s="273"/>
      <c r="O459" s="273"/>
      <c r="P459" s="220"/>
      <c r="Q459" s="274"/>
      <c r="R459" s="217" t="str">
        <f ca="1">IF(ISERROR($V459),"",OFFSET('Smelter Look-up'!$C$4,$V459-4,0)&amp;"")</f>
        <v>TOO Tau-Ken-Altyn</v>
      </c>
      <c r="S459" s="225" t="str">
        <f t="shared" ca="1" si="66"/>
        <v>KZ</v>
      </c>
      <c r="T459" s="225" t="str">
        <f ca="1">IF(B459="","",IF(ISERROR(MATCH($J459,SorP!$B$1:$B$6230,0)),"",INDIRECT("'SorP'!$A$"&amp;MATCH($J459,SorP!$B$1:$B$6230,0))))</f>
        <v>KZ-ALA</v>
      </c>
      <c r="U459" s="241"/>
      <c r="V459" s="275">
        <f>IF(C459="",NA(),MATCH($B459&amp;$C459,'Smelter Look-up'!$J:$J,0))</f>
        <v>261</v>
      </c>
      <c r="W459" s="276"/>
      <c r="X459" s="276">
        <f t="shared" si="67"/>
        <v>0</v>
      </c>
      <c r="Y459" s="276"/>
      <c r="Z459" s="276"/>
      <c r="AB459" s="278" t="str">
        <f t="shared" si="68"/>
        <v>GoldTOO Tau-Ken-Altyn</v>
      </c>
    </row>
    <row r="460" spans="1:28" s="277" customFormat="1" ht="40.5">
      <c r="A460" s="216"/>
      <c r="B460" s="217" t="s">
        <v>1154</v>
      </c>
      <c r="C460" s="221" t="s">
        <v>1898</v>
      </c>
      <c r="D460" s="283" t="s">
        <v>15808</v>
      </c>
      <c r="E460" s="217" t="s">
        <v>1123</v>
      </c>
      <c r="F460" s="217" t="s">
        <v>14250</v>
      </c>
      <c r="G460" s="217" t="s">
        <v>14250</v>
      </c>
      <c r="H460" s="218">
        <f ca="1">IF(ISERROR($V460),"",OFFSET('Smelter Look-up'!$G$4,$V460-4,0))</f>
        <v>0</v>
      </c>
      <c r="I460" s="219">
        <f ca="1">IF(ISERROR($V460),"",OFFSET('Smelter Look-up'!$H$4,$V460-4,0))</f>
        <v>0</v>
      </c>
      <c r="J460" s="219">
        <f ca="1">IF(ISERROR($V460),"",OFFSET('Smelter Look-up'!$I$4,$V460-4,0))</f>
        <v>0</v>
      </c>
      <c r="K460" s="273"/>
      <c r="L460" s="273"/>
      <c r="M460" s="273"/>
      <c r="N460" s="273"/>
      <c r="O460" s="273"/>
      <c r="P460" s="220"/>
      <c r="Q460" s="274"/>
      <c r="R460" s="217" t="str">
        <f ca="1">IF(ISERROR($V460),"",OFFSET('Smelter Look-up'!$C$4,$V460-4,0)&amp;"")</f>
        <v/>
      </c>
      <c r="S460" s="225" t="str">
        <f t="shared" ca="1" si="66"/>
        <v>CN</v>
      </c>
      <c r="T460" s="225" t="str">
        <f ca="1">IF(B460="","",IF(ISERROR(MATCH($J460,SorP!$B$1:$B$6230,0)),"",INDIRECT("'SorP'!$A$"&amp;MATCH($J460,SorP!$B$1:$B$6230,0))))</f>
        <v/>
      </c>
      <c r="U460" s="241"/>
      <c r="V460" s="275">
        <f>IF(C460="",NA(),MATCH($B460&amp;$C460,'Smelter Look-up'!$J:$J,0))</f>
        <v>484</v>
      </c>
      <c r="W460" s="276"/>
      <c r="X460" s="276">
        <f t="shared" si="67"/>
        <v>0</v>
      </c>
      <c r="Y460" s="276"/>
      <c r="Z460" s="276"/>
      <c r="AB460" s="278" t="str">
        <f t="shared" si="68"/>
        <v>TinSmelter not listed</v>
      </c>
    </row>
    <row r="461" spans="1:28" s="277" customFormat="1" ht="27">
      <c r="A461" s="216"/>
      <c r="B461" s="217" t="s">
        <v>1153</v>
      </c>
      <c r="C461" s="221" t="s">
        <v>626</v>
      </c>
      <c r="D461" s="283" t="s">
        <v>626</v>
      </c>
      <c r="E461" s="217" t="s">
        <v>1134</v>
      </c>
      <c r="F461" s="217" t="s">
        <v>753</v>
      </c>
      <c r="G461" s="217" t="s">
        <v>15513</v>
      </c>
      <c r="H461" s="218">
        <f ca="1">IF(ISERROR($V461),"",OFFSET('Smelter Look-up'!$G$4,$V461-4,0))</f>
        <v>0</v>
      </c>
      <c r="I461" s="219" t="str">
        <f ca="1">IF(ISERROR($V461),"",OFFSET('Smelter Look-up'!$H$4,$V461-4,0))</f>
        <v>Asan</v>
      </c>
      <c r="J461" s="219" t="str">
        <f ca="1">IF(ISERROR($V461),"",OFFSET('Smelter Look-up'!$I$4,$V461-4,0))</f>
        <v>Chungcheongnam-do</v>
      </c>
      <c r="K461" s="273"/>
      <c r="L461" s="273"/>
      <c r="M461" s="273"/>
      <c r="N461" s="273"/>
      <c r="O461" s="273"/>
      <c r="P461" s="220"/>
      <c r="Q461" s="274"/>
      <c r="R461" s="217" t="str">
        <f ca="1">IF(ISERROR($V461),"",OFFSET('Smelter Look-up'!$C$4,$V461-4,0)&amp;"")</f>
        <v>Torecom</v>
      </c>
      <c r="S461" s="225" t="str">
        <f t="shared" ca="1" si="66"/>
        <v>KR</v>
      </c>
      <c r="T461" s="225" t="str">
        <f ca="1">IF(B461="","",IF(ISERROR(MATCH($J461,SorP!$B$1:$B$6230,0)),"",INDIRECT("'SorP'!$A$"&amp;MATCH($J461,SorP!$B$1:$B$6230,0))))</f>
        <v>KR-44</v>
      </c>
      <c r="U461" s="241"/>
      <c r="V461" s="275">
        <f>IF(C461="",NA(),MATCH($B461&amp;$C461,'Smelter Look-up'!$J:$J,0))</f>
        <v>262</v>
      </c>
      <c r="W461" s="276"/>
      <c r="X461" s="276">
        <f t="shared" si="67"/>
        <v>0</v>
      </c>
      <c r="Y461" s="276"/>
      <c r="Z461" s="276"/>
      <c r="AB461" s="278" t="str">
        <f t="shared" si="68"/>
        <v>GoldTorecom</v>
      </c>
    </row>
    <row r="462" spans="1:28" s="277" customFormat="1" ht="81">
      <c r="A462" s="216"/>
      <c r="B462" s="217" t="s">
        <v>1156</v>
      </c>
      <c r="C462" s="221" t="s">
        <v>1898</v>
      </c>
      <c r="D462" s="283" t="s">
        <v>15809</v>
      </c>
      <c r="E462" s="217" t="s">
        <v>1131</v>
      </c>
      <c r="F462" s="217" t="s">
        <v>14250</v>
      </c>
      <c r="G462" s="217" t="s">
        <v>14250</v>
      </c>
      <c r="H462" s="218">
        <f ca="1">IF(ISERROR($V462),"",OFFSET('Smelter Look-up'!$G$4,$V462-4,0))</f>
        <v>0</v>
      </c>
      <c r="I462" s="219">
        <f ca="1">IF(ISERROR($V462),"",OFFSET('Smelter Look-up'!$H$4,$V462-4,0))</f>
        <v>0</v>
      </c>
      <c r="J462" s="219">
        <f ca="1">IF(ISERROR($V462),"",OFFSET('Smelter Look-up'!$I$4,$V462-4,0))</f>
        <v>0</v>
      </c>
      <c r="K462" s="273"/>
      <c r="L462" s="273"/>
      <c r="M462" s="273"/>
      <c r="N462" s="273"/>
      <c r="O462" s="273"/>
      <c r="P462" s="220"/>
      <c r="Q462" s="274" t="s">
        <v>15525</v>
      </c>
      <c r="R462" s="217" t="str">
        <f ca="1">IF(ISERROR($V462),"",OFFSET('Smelter Look-up'!$C$4,$V462-4,0)&amp;"")</f>
        <v/>
      </c>
      <c r="S462" s="225" t="str">
        <f t="shared" ca="1" si="66"/>
        <v>JP</v>
      </c>
      <c r="T462" s="225" t="str">
        <f ca="1">IF(B462="","",IF(ISERROR(MATCH($J462,SorP!$B$1:$B$6230,0)),"",INDIRECT("'SorP'!$A$"&amp;MATCH($J462,SorP!$B$1:$B$6230,0))))</f>
        <v/>
      </c>
      <c r="U462" s="241"/>
      <c r="V462" s="275">
        <f>IF(C462="",NA(),MATCH($B462&amp;$C462,'Smelter Look-up'!$J:$J,0))</f>
        <v>590</v>
      </c>
      <c r="W462" s="276"/>
      <c r="X462" s="276">
        <f t="shared" si="67"/>
        <v>0</v>
      </c>
      <c r="Y462" s="276"/>
      <c r="Z462" s="276"/>
      <c r="AB462" s="278" t="str">
        <f t="shared" si="68"/>
        <v>TungstenSmelter not listed</v>
      </c>
    </row>
    <row r="463" spans="1:28" s="277" customFormat="1" ht="81">
      <c r="A463" s="216"/>
      <c r="B463" s="217" t="s">
        <v>1155</v>
      </c>
      <c r="C463" s="221" t="s">
        <v>1898</v>
      </c>
      <c r="D463" s="283" t="s">
        <v>15810</v>
      </c>
      <c r="E463" s="217" t="s">
        <v>2576</v>
      </c>
      <c r="F463" s="217" t="s">
        <v>15811</v>
      </c>
      <c r="G463" s="217" t="s">
        <v>15513</v>
      </c>
      <c r="H463" s="218">
        <f ca="1">IF(ISERROR($V463),"",OFFSET('Smelter Look-up'!$G$4,$V463-4,0))</f>
        <v>0</v>
      </c>
      <c r="I463" s="219">
        <f ca="1">IF(ISERROR($V463),"",OFFSET('Smelter Look-up'!$H$4,$V463-4,0))</f>
        <v>0</v>
      </c>
      <c r="J463" s="219">
        <f ca="1">IF(ISERROR($V463),"",OFFSET('Smelter Look-up'!$I$4,$V463-4,0))</f>
        <v>0</v>
      </c>
      <c r="K463" s="273"/>
      <c r="L463" s="273"/>
      <c r="M463" s="273"/>
      <c r="N463" s="273"/>
      <c r="O463" s="273"/>
      <c r="P463" s="220"/>
      <c r="Q463" s="274" t="s">
        <v>15525</v>
      </c>
      <c r="R463" s="217" t="str">
        <f ca="1">IF(ISERROR($V463),"",OFFSET('Smelter Look-up'!$C$4,$V463-4,0)&amp;"")</f>
        <v/>
      </c>
      <c r="S463" s="225" t="str">
        <f t="shared" ca="1" si="66"/>
        <v>US</v>
      </c>
      <c r="T463" s="225" t="str">
        <f ca="1">IF(B463="","",IF(ISERROR(MATCH($J463,SorP!$B$1:$B$6230,0)),"",INDIRECT("'SorP'!$A$"&amp;MATCH($J463,SorP!$B$1:$B$6230,0))))</f>
        <v/>
      </c>
      <c r="U463" s="241"/>
      <c r="V463" s="275">
        <f>IF(C463="",NA(),MATCH($B463&amp;$C463,'Smelter Look-up'!$J:$J,0))</f>
        <v>353</v>
      </c>
      <c r="W463" s="276"/>
      <c r="X463" s="276">
        <f t="shared" si="67"/>
        <v>0</v>
      </c>
      <c r="Y463" s="276"/>
      <c r="Z463" s="276"/>
      <c r="AB463" s="278" t="str">
        <f t="shared" si="68"/>
        <v>TantalumSmelter not listed</v>
      </c>
    </row>
    <row r="464" spans="1:28" s="277" customFormat="1" ht="40.5">
      <c r="A464" s="216"/>
      <c r="B464" s="217" t="s">
        <v>1153</v>
      </c>
      <c r="C464" s="221" t="s">
        <v>1898</v>
      </c>
      <c r="D464" s="283" t="s">
        <v>15812</v>
      </c>
      <c r="E464" s="217" t="s">
        <v>2575</v>
      </c>
      <c r="F464" s="217" t="s">
        <v>14250</v>
      </c>
      <c r="G464" s="217" t="s">
        <v>14250</v>
      </c>
      <c r="H464" s="218">
        <f ca="1">IF(ISERROR($V464),"",OFFSET('Smelter Look-up'!$G$4,$V464-4,0))</f>
        <v>0</v>
      </c>
      <c r="I464" s="219">
        <f ca="1">IF(ISERROR($V464),"",OFFSET('Smelter Look-up'!$H$4,$V464-4,0))</f>
        <v>0</v>
      </c>
      <c r="J464" s="219">
        <f ca="1">IF(ISERROR($V464),"",OFFSET('Smelter Look-up'!$I$4,$V464-4,0))</f>
        <v>0</v>
      </c>
      <c r="K464" s="273"/>
      <c r="L464" s="273"/>
      <c r="M464" s="273"/>
      <c r="N464" s="273"/>
      <c r="O464" s="273"/>
      <c r="P464" s="220"/>
      <c r="Q464" s="274"/>
      <c r="R464" s="217" t="str">
        <f ca="1">IF(ISERROR($V464),"",OFFSET('Smelter Look-up'!$C$4,$V464-4,0)&amp;"")</f>
        <v/>
      </c>
      <c r="S464" s="225" t="str">
        <f t="shared" ca="1" si="66"/>
        <v>TW</v>
      </c>
      <c r="T464" s="225" t="str">
        <f ca="1">IF(B464="","",IF(ISERROR(MATCH($J464,SorP!$B$1:$B$6230,0)),"",INDIRECT("'SorP'!$A$"&amp;MATCH($J464,SorP!$B$1:$B$6230,0))))</f>
        <v/>
      </c>
      <c r="U464" s="241"/>
      <c r="V464" s="275">
        <f>IF(C464="",NA(),MATCH($B464&amp;$C464,'Smelter Look-up'!$J:$J,0))</f>
        <v>293</v>
      </c>
      <c r="W464" s="276"/>
      <c r="X464" s="276">
        <f t="shared" si="67"/>
        <v>0</v>
      </c>
      <c r="Y464" s="276"/>
      <c r="Z464" s="276"/>
      <c r="AB464" s="278" t="str">
        <f t="shared" si="68"/>
        <v>GoldSmelter not listed</v>
      </c>
    </row>
    <row r="465" spans="1:28" s="277" customFormat="1" ht="40.5">
      <c r="A465" s="216"/>
      <c r="B465" s="217" t="s">
        <v>1153</v>
      </c>
      <c r="C465" s="221" t="s">
        <v>1898</v>
      </c>
      <c r="D465" s="283" t="s">
        <v>15813</v>
      </c>
      <c r="E465" s="217" t="s">
        <v>1134</v>
      </c>
      <c r="F465" s="217" t="s">
        <v>13253</v>
      </c>
      <c r="G465" s="217" t="s">
        <v>13577</v>
      </c>
      <c r="H465" s="218">
        <f ca="1">IF(ISERROR($V465),"",OFFSET('Smelter Look-up'!$G$4,$V465-4,0))</f>
        <v>0</v>
      </c>
      <c r="I465" s="219">
        <f ca="1">IF(ISERROR($V465),"",OFFSET('Smelter Look-up'!$H$4,$V465-4,0))</f>
        <v>0</v>
      </c>
      <c r="J465" s="219">
        <f ca="1">IF(ISERROR($V465),"",OFFSET('Smelter Look-up'!$I$4,$V465-4,0))</f>
        <v>0</v>
      </c>
      <c r="K465" s="273"/>
      <c r="L465" s="273"/>
      <c r="M465" s="273"/>
      <c r="N465" s="273"/>
      <c r="O465" s="273"/>
      <c r="P465" s="220"/>
      <c r="Q465" s="274"/>
      <c r="R465" s="217" t="str">
        <f ca="1">IF(ISERROR($V465),"",OFFSET('Smelter Look-up'!$C$4,$V465-4,0)&amp;"")</f>
        <v/>
      </c>
      <c r="S465" s="225" t="str">
        <f t="shared" ca="1" si="66"/>
        <v>KR</v>
      </c>
      <c r="T465" s="225" t="str">
        <f ca="1">IF(B465="","",IF(ISERROR(MATCH($J465,SorP!$B$1:$B$6230,0)),"",INDIRECT("'SorP'!$A$"&amp;MATCH($J465,SorP!$B$1:$B$6230,0))))</f>
        <v/>
      </c>
      <c r="U465" s="241"/>
      <c r="V465" s="275">
        <f>IF(C465="",NA(),MATCH($B465&amp;$C465,'Smelter Look-up'!$J:$J,0))</f>
        <v>293</v>
      </c>
      <c r="W465" s="276"/>
      <c r="X465" s="276">
        <f t="shared" si="67"/>
        <v>0</v>
      </c>
      <c r="Y465" s="276"/>
      <c r="Z465" s="276"/>
      <c r="AB465" s="278" t="str">
        <f t="shared" si="68"/>
        <v>GoldSmelter not listed</v>
      </c>
    </row>
    <row r="466" spans="1:28" s="277" customFormat="1" ht="81">
      <c r="A466" s="216"/>
      <c r="B466" s="217" t="s">
        <v>1156</v>
      </c>
      <c r="C466" s="221" t="s">
        <v>1898</v>
      </c>
      <c r="D466" s="283" t="s">
        <v>15814</v>
      </c>
      <c r="E466" s="217" t="s">
        <v>2576</v>
      </c>
      <c r="F466" s="217" t="s">
        <v>14250</v>
      </c>
      <c r="G466" s="217" t="s">
        <v>14250</v>
      </c>
      <c r="H466" s="218">
        <f ca="1">IF(ISERROR($V466),"",OFFSET('Smelter Look-up'!$G$4,$V466-4,0))</f>
        <v>0</v>
      </c>
      <c r="I466" s="219">
        <f ca="1">IF(ISERROR($V466),"",OFFSET('Smelter Look-up'!$H$4,$V466-4,0))</f>
        <v>0</v>
      </c>
      <c r="J466" s="219">
        <f ca="1">IF(ISERROR($V466),"",OFFSET('Smelter Look-up'!$I$4,$V466-4,0))</f>
        <v>0</v>
      </c>
      <c r="K466" s="273"/>
      <c r="L466" s="273"/>
      <c r="M466" s="273"/>
      <c r="N466" s="273"/>
      <c r="O466" s="273"/>
      <c r="P466" s="220"/>
      <c r="Q466" s="274" t="s">
        <v>15525</v>
      </c>
      <c r="R466" s="217" t="str">
        <f ca="1">IF(ISERROR($V466),"",OFFSET('Smelter Look-up'!$C$4,$V466-4,0)&amp;"")</f>
        <v/>
      </c>
      <c r="S466" s="225" t="str">
        <f t="shared" ca="1" si="66"/>
        <v>US</v>
      </c>
      <c r="T466" s="225" t="str">
        <f ca="1">IF(B466="","",IF(ISERROR(MATCH($J466,SorP!$B$1:$B$6230,0)),"",INDIRECT("'SorP'!$A$"&amp;MATCH($J466,SorP!$B$1:$B$6230,0))))</f>
        <v/>
      </c>
      <c r="U466" s="241"/>
      <c r="V466" s="275">
        <f>IF(C466="",NA(),MATCH($B466&amp;$C466,'Smelter Look-up'!$J:$J,0))</f>
        <v>590</v>
      </c>
      <c r="W466" s="276"/>
      <c r="X466" s="276">
        <f t="shared" si="67"/>
        <v>0</v>
      </c>
      <c r="Y466" s="276"/>
      <c r="Z466" s="276"/>
      <c r="AB466" s="278" t="str">
        <f t="shared" si="68"/>
        <v>TungstenSmelter not listed</v>
      </c>
    </row>
    <row r="467" spans="1:28" s="277" customFormat="1" ht="121.5">
      <c r="A467" s="216"/>
      <c r="B467" s="217" t="s">
        <v>1154</v>
      </c>
      <c r="C467" s="221" t="s">
        <v>1852</v>
      </c>
      <c r="D467" s="283" t="s">
        <v>1852</v>
      </c>
      <c r="E467" s="217" t="s">
        <v>915</v>
      </c>
      <c r="F467" s="217" t="s">
        <v>1853</v>
      </c>
      <c r="G467" s="217" t="s">
        <v>15513</v>
      </c>
      <c r="H467" s="218">
        <f ca="1">IF(ISERROR($V467),"",OFFSET('Smelter Look-up'!$G$4,$V467-4,0))</f>
        <v>0</v>
      </c>
      <c r="I467" s="219" t="str">
        <f ca="1">IF(ISERROR($V467),"",OFFSET('Smelter Look-up'!$H$4,$V467-4,0))</f>
        <v>Tan Quang</v>
      </c>
      <c r="J467" s="219" t="str">
        <f ca="1">IF(ISERROR($V467),"",OFFSET('Smelter Look-up'!$I$4,$V467-4,0))</f>
        <v>Tuyên Quang</v>
      </c>
      <c r="K467" s="273"/>
      <c r="L467" s="273"/>
      <c r="M467" s="273"/>
      <c r="N467" s="273"/>
      <c r="O467" s="273"/>
      <c r="P467" s="220"/>
      <c r="Q467" s="274"/>
      <c r="R467" s="217" t="str">
        <f ca="1">IF(ISERROR($V467),"",OFFSET('Smelter Look-up'!$C$4,$V467-4,0)&amp;"")</f>
        <v>Tuyen Quang Non-Ferrous Metals Joint Stock Company</v>
      </c>
      <c r="S467" s="225" t="str">
        <f t="shared" ca="1" si="66"/>
        <v>VN</v>
      </c>
      <c r="T467" s="225" t="str">
        <f ca="1">IF(B467="","",IF(ISERROR(MATCH($J467,SorP!$B$1:$B$6230,0)),"",INDIRECT("'SorP'!$A$"&amp;MATCH($J467,SorP!$B$1:$B$6230,0))))</f>
        <v>VN-07</v>
      </c>
      <c r="U467" s="241"/>
      <c r="V467" s="275">
        <f>IF(C467="",NA(),MATCH($B467&amp;$C467,'Smelter Look-up'!$J:$J,0))</f>
        <v>463</v>
      </c>
      <c r="W467" s="276"/>
      <c r="X467" s="276">
        <f t="shared" si="67"/>
        <v>0</v>
      </c>
      <c r="Y467" s="276"/>
      <c r="Z467" s="276"/>
      <c r="AB467" s="278" t="str">
        <f t="shared" si="68"/>
        <v>TinTuyen Quang Non-Ferrous Metals Joint Stock Company</v>
      </c>
    </row>
    <row r="468" spans="1:28" s="277" customFormat="1" ht="81">
      <c r="A468" s="216"/>
      <c r="B468" s="217" t="s">
        <v>1155</v>
      </c>
      <c r="C468" s="221" t="s">
        <v>1775</v>
      </c>
      <c r="D468" s="283" t="s">
        <v>1775</v>
      </c>
      <c r="E468" s="217" t="s">
        <v>1132</v>
      </c>
      <c r="F468" s="217" t="s">
        <v>782</v>
      </c>
      <c r="G468" s="217" t="s">
        <v>15513</v>
      </c>
      <c r="H468" s="218">
        <f ca="1">IF(ISERROR($V468),"",OFFSET('Smelter Look-up'!$G$4,$V468-4,0))</f>
        <v>0</v>
      </c>
      <c r="I468" s="219" t="str">
        <f ca="1">IF(ISERROR($V468),"",OFFSET('Smelter Look-up'!$H$4,$V468-4,0))</f>
        <v>Ust-Kamenogorsk</v>
      </c>
      <c r="J468" s="219" t="str">
        <f ca="1">IF(ISERROR($V468),"",OFFSET('Smelter Look-up'!$I$4,$V468-4,0))</f>
        <v>Qaraghandy oblysy</v>
      </c>
      <c r="K468" s="273"/>
      <c r="L468" s="273"/>
      <c r="M468" s="273"/>
      <c r="N468" s="273"/>
      <c r="O468" s="273"/>
      <c r="P468" s="220"/>
      <c r="Q468" s="274"/>
      <c r="R468" s="217" t="str">
        <f ca="1">IF(ISERROR($V468),"",OFFSET('Smelter Look-up'!$C$4,$V468-4,0)&amp;"")</f>
        <v>Ulba Metallurgical Plant JSC</v>
      </c>
      <c r="S468" s="225" t="str">
        <f t="shared" ca="1" si="66"/>
        <v>KZ</v>
      </c>
      <c r="T468" s="225" t="str">
        <f ca="1">IF(B468="","",IF(ISERROR(MATCH($J468,SorP!$B$1:$B$6230,0)),"",INDIRECT("'SorP'!$A$"&amp;MATCH($J468,SorP!$B$1:$B$6230,0))))</f>
        <v>KZ-KAR</v>
      </c>
      <c r="U468" s="241"/>
      <c r="V468" s="275">
        <f>IF(C468="",NA(),MATCH($B468&amp;$C468,'Smelter Look-up'!$J:$J,0))</f>
        <v>349</v>
      </c>
      <c r="W468" s="276"/>
      <c r="X468" s="276">
        <f t="shared" si="67"/>
        <v>0</v>
      </c>
      <c r="Y468" s="276"/>
      <c r="Z468" s="276"/>
      <c r="AB468" s="278" t="str">
        <f t="shared" si="68"/>
        <v>TantalumUlba Metallurgical Plant JSC</v>
      </c>
    </row>
    <row r="469" spans="1:28" s="277" customFormat="1" ht="54">
      <c r="A469" s="216"/>
      <c r="B469" s="217" t="s">
        <v>1153</v>
      </c>
      <c r="C469" s="221" t="s">
        <v>2270</v>
      </c>
      <c r="D469" s="283" t="s">
        <v>2270</v>
      </c>
      <c r="E469" s="217" t="s">
        <v>1119</v>
      </c>
      <c r="F469" s="217" t="s">
        <v>754</v>
      </c>
      <c r="G469" s="217" t="s">
        <v>13577</v>
      </c>
      <c r="H469" s="218">
        <f ca="1">IF(ISERROR($V469),"",OFFSET('Smelter Look-up'!$G$4,$V469-4,0))</f>
        <v>0</v>
      </c>
      <c r="I469" s="219" t="str">
        <f ca="1">IF(ISERROR($V469),"",OFFSET('Smelter Look-up'!$H$4,$V469-4,0))</f>
        <v>Guarulhos</v>
      </c>
      <c r="J469" s="219" t="str">
        <f ca="1">IF(ISERROR($V469),"",OFFSET('Smelter Look-up'!$I$4,$V469-4,0))</f>
        <v>São Paulo</v>
      </c>
      <c r="K469" s="273"/>
      <c r="L469" s="273"/>
      <c r="M469" s="273"/>
      <c r="N469" s="273"/>
      <c r="O469" s="273"/>
      <c r="P469" s="220"/>
      <c r="Q469" s="274"/>
      <c r="R469" s="217" t="str">
        <f ca="1">IF(ISERROR($V469),"",OFFSET('Smelter Look-up'!$C$4,$V469-4,0)&amp;"")</f>
        <v>Umicore Brasil Ltda.</v>
      </c>
      <c r="S469" s="225" t="str">
        <f t="shared" ca="1" si="66"/>
        <v>BR</v>
      </c>
      <c r="T469" s="225" t="str">
        <f ca="1">IF(B469="","",IF(ISERROR(MATCH($J469,SorP!$B$1:$B$6230,0)),"",INDIRECT("'SorP'!$A$"&amp;MATCH($J469,SorP!$B$1:$B$6230,0))))</f>
        <v>BR-SP</v>
      </c>
      <c r="U469" s="241"/>
      <c r="V469" s="275">
        <f>IF(C469="",NA(),MATCH($B469&amp;$C469,'Smelter Look-up'!$J:$J,0))</f>
        <v>264</v>
      </c>
      <c r="W469" s="276"/>
      <c r="X469" s="276">
        <f t="shared" si="67"/>
        <v>0</v>
      </c>
      <c r="Y469" s="276"/>
      <c r="Z469" s="276"/>
      <c r="AB469" s="278" t="str">
        <f t="shared" si="68"/>
        <v>GoldUmicore Brasil Ltda.</v>
      </c>
    </row>
    <row r="470" spans="1:28" s="277" customFormat="1" ht="67.5">
      <c r="A470" s="216"/>
      <c r="B470" s="217" t="s">
        <v>1153</v>
      </c>
      <c r="C470" s="221" t="s">
        <v>149</v>
      </c>
      <c r="D470" s="283" t="s">
        <v>149</v>
      </c>
      <c r="E470" s="217" t="s">
        <v>911</v>
      </c>
      <c r="F470" s="217" t="s">
        <v>150</v>
      </c>
      <c r="G470" s="217" t="s">
        <v>15513</v>
      </c>
      <c r="H470" s="218">
        <f ca="1">IF(ISERROR($V470),"",OFFSET('Smelter Look-up'!$G$4,$V470-4,0))</f>
        <v>0</v>
      </c>
      <c r="I470" s="219" t="str">
        <f ca="1">IF(ISERROR($V470),"",OFFSET('Smelter Look-up'!$H$4,$V470-4,0))</f>
        <v>Khwaeng Dok Mai</v>
      </c>
      <c r="J470" s="219" t="str">
        <f ca="1">IF(ISERROR($V470),"",OFFSET('Smelter Look-up'!$I$4,$V470-4,0))</f>
        <v>Krung Thep Maha Nakhon</v>
      </c>
      <c r="K470" s="273"/>
      <c r="L470" s="273"/>
      <c r="M470" s="273"/>
      <c r="N470" s="273"/>
      <c r="O470" s="273"/>
      <c r="P470" s="220"/>
      <c r="Q470" s="274"/>
      <c r="R470" s="217" t="str">
        <f ca="1">IF(ISERROR($V470),"",OFFSET('Smelter Look-up'!$C$4,$V470-4,0)&amp;"")</f>
        <v>Umicore Precious Metals Thailand</v>
      </c>
      <c r="S470" s="225" t="str">
        <f t="shared" ca="1" si="66"/>
        <v>TH</v>
      </c>
      <c r="T470" s="225" t="str">
        <f ca="1">IF(B470="","",IF(ISERROR(MATCH($J470,SorP!$B$1:$B$6230,0)),"",INDIRECT("'SorP'!$A$"&amp;MATCH($J470,SorP!$B$1:$B$6230,0))))</f>
        <v>TH-10</v>
      </c>
      <c r="U470" s="241"/>
      <c r="V470" s="275">
        <f>IF(C470="",NA(),MATCH($B470&amp;$C470,'Smelter Look-up'!$J:$J,0))</f>
        <v>266</v>
      </c>
      <c r="W470" s="276"/>
      <c r="X470" s="276">
        <f t="shared" si="67"/>
        <v>0</v>
      </c>
      <c r="Y470" s="276"/>
      <c r="Z470" s="276"/>
      <c r="AB470" s="278" t="str">
        <f t="shared" si="68"/>
        <v>GoldUmicore Precious Metals Thailand</v>
      </c>
    </row>
    <row r="471" spans="1:28" s="277" customFormat="1" ht="108">
      <c r="A471" s="216"/>
      <c r="B471" s="217" t="s">
        <v>1153</v>
      </c>
      <c r="C471" s="221" t="s">
        <v>2458</v>
      </c>
      <c r="D471" s="283" t="s">
        <v>2458</v>
      </c>
      <c r="E471" s="217" t="s">
        <v>1118</v>
      </c>
      <c r="F471" s="217" t="s">
        <v>755</v>
      </c>
      <c r="G471" s="217" t="s">
        <v>15513</v>
      </c>
      <c r="H471" s="218">
        <f ca="1">IF(ISERROR($V471),"",OFFSET('Smelter Look-up'!$G$4,$V471-4,0))</f>
        <v>0</v>
      </c>
      <c r="I471" s="219" t="str">
        <f ca="1">IF(ISERROR($V471),"",OFFSET('Smelter Look-up'!$H$4,$V471-4,0))</f>
        <v>Hoboken</v>
      </c>
      <c r="J471" s="219" t="str">
        <f ca="1">IF(ISERROR($V471),"",OFFSET('Smelter Look-up'!$I$4,$V471-4,0))</f>
        <v>Antwerpen</v>
      </c>
      <c r="K471" s="273"/>
      <c r="L471" s="273"/>
      <c r="M471" s="273"/>
      <c r="N471" s="273"/>
      <c r="O471" s="273"/>
      <c r="P471" s="220"/>
      <c r="Q471" s="274"/>
      <c r="R471" s="217" t="str">
        <f ca="1">IF(ISERROR($V471),"",OFFSET('Smelter Look-up'!$C$4,$V471-4,0)&amp;"")</f>
        <v>Umicore S.A. Business Unit Precious Metals Refining</v>
      </c>
      <c r="S471" s="225" t="str">
        <f t="shared" ca="1" si="66"/>
        <v>BE</v>
      </c>
      <c r="T471" s="225" t="str">
        <f ca="1">IF(B471="","",IF(ISERROR(MATCH($J471,SorP!$B$1:$B$6230,0)),"",INDIRECT("'SorP'!$A$"&amp;MATCH($J471,SorP!$B$1:$B$6230,0))))</f>
        <v>BE-VAN</v>
      </c>
      <c r="U471" s="241"/>
      <c r="V471" s="275">
        <f>IF(C471="",NA(),MATCH($B471&amp;$C471,'Smelter Look-up'!$J:$J,0))</f>
        <v>267</v>
      </c>
      <c r="W471" s="276"/>
      <c r="X471" s="276">
        <f t="shared" si="67"/>
        <v>0</v>
      </c>
      <c r="Y471" s="276"/>
      <c r="Z471" s="276"/>
      <c r="AB471" s="278" t="str">
        <f t="shared" si="68"/>
        <v>GoldUmicore S.A. Business Unit Precious Metals Refining</v>
      </c>
    </row>
    <row r="472" spans="1:28" s="277" customFormat="1" ht="81">
      <c r="A472" s="216"/>
      <c r="B472" s="217" t="s">
        <v>1156</v>
      </c>
      <c r="C472" s="221" t="s">
        <v>2591</v>
      </c>
      <c r="D472" s="283" t="s">
        <v>2591</v>
      </c>
      <c r="E472" s="217" t="s">
        <v>906</v>
      </c>
      <c r="F472" s="217" t="s">
        <v>2592</v>
      </c>
      <c r="G472" s="217" t="s">
        <v>15513</v>
      </c>
      <c r="H472" s="218">
        <f ca="1">IF(ISERROR($V472),"",OFFSET('Smelter Look-up'!$G$4,$V472-4,0))</f>
        <v>0</v>
      </c>
      <c r="I472" s="219" t="str">
        <f ca="1">IF(ISERROR($V472),"",OFFSET('Smelter Look-up'!$H$4,$V472-4,0))</f>
        <v>Unecha</v>
      </c>
      <c r="J472" s="219" t="str">
        <f ca="1">IF(ISERROR($V472),"",OFFSET('Smelter Look-up'!$I$4,$V472-4,0))</f>
        <v>Bryanskaya oblast'</v>
      </c>
      <c r="K472" s="273"/>
      <c r="L472" s="273"/>
      <c r="M472" s="273"/>
      <c r="N472" s="273"/>
      <c r="O472" s="273"/>
      <c r="P472" s="220"/>
      <c r="Q472" s="274"/>
      <c r="R472" s="217" t="str">
        <f ca="1">IF(ISERROR($V472),"",OFFSET('Smelter Look-up'!$C$4,$V472-4,0)&amp;"")</f>
        <v>Unecha Refractory metals plant</v>
      </c>
      <c r="S472" s="225" t="str">
        <f t="shared" ca="1" si="66"/>
        <v>RU</v>
      </c>
      <c r="T472" s="225" t="str">
        <f ca="1">IF(B472="","",IF(ISERROR(MATCH($J472,SorP!$B$1:$B$6230,0)),"",INDIRECT("'SorP'!$A$"&amp;MATCH($J472,SorP!$B$1:$B$6230,0))))</f>
        <v>RU-BRY</v>
      </c>
      <c r="U472" s="241"/>
      <c r="V472" s="275">
        <f>IF(C472="",NA(),MATCH($B472&amp;$C472,'Smelter Look-up'!$J:$J,0))</f>
        <v>550</v>
      </c>
      <c r="W472" s="276"/>
      <c r="X472" s="276">
        <f t="shared" si="67"/>
        <v>0</v>
      </c>
      <c r="Y472" s="276"/>
      <c r="Z472" s="276"/>
      <c r="AB472" s="278" t="str">
        <f t="shared" si="68"/>
        <v>TungstenUnecha Refractory metals plant</v>
      </c>
    </row>
    <row r="473" spans="1:28" s="277" customFormat="1" ht="81">
      <c r="A473" s="216"/>
      <c r="B473" s="217" t="s">
        <v>1153</v>
      </c>
      <c r="C473" s="221" t="s">
        <v>843</v>
      </c>
      <c r="D473" s="283" t="s">
        <v>843</v>
      </c>
      <c r="E473" s="217" t="s">
        <v>2576</v>
      </c>
      <c r="F473" s="217" t="s">
        <v>756</v>
      </c>
      <c r="G473" s="217" t="s">
        <v>15513</v>
      </c>
      <c r="H473" s="218">
        <f ca="1">IF(ISERROR($V473),"",OFFSET('Smelter Look-up'!$G$4,$V473-4,0))</f>
        <v>0</v>
      </c>
      <c r="I473" s="219" t="str">
        <f ca="1">IF(ISERROR($V473),"",OFFSET('Smelter Look-up'!$H$4,$V473-4,0))</f>
        <v>Alden</v>
      </c>
      <c r="J473" s="219" t="str">
        <f ca="1">IF(ISERROR($V473),"",OFFSET('Smelter Look-up'!$I$4,$V473-4,0))</f>
        <v>New York</v>
      </c>
      <c r="K473" s="273"/>
      <c r="L473" s="273"/>
      <c r="M473" s="273"/>
      <c r="N473" s="273"/>
      <c r="O473" s="273"/>
      <c r="P473" s="220"/>
      <c r="Q473" s="274"/>
      <c r="R473" s="217" t="str">
        <f ca="1">IF(ISERROR($V473),"",OFFSET('Smelter Look-up'!$C$4,$V473-4,0)&amp;"")</f>
        <v>United Precious Metal Refining, Inc.</v>
      </c>
      <c r="S473" s="225" t="str">
        <f t="shared" ca="1" si="66"/>
        <v>US</v>
      </c>
      <c r="T473" s="225" t="str">
        <f ca="1">IF(B473="","",IF(ISERROR(MATCH($J473,SorP!$B$1:$B$6230,0)),"",INDIRECT("'SorP'!$A$"&amp;MATCH($J473,SorP!$B$1:$B$6230,0))))</f>
        <v>US-NY</v>
      </c>
      <c r="U473" s="241"/>
      <c r="V473" s="275">
        <f>IF(C473="",NA(),MATCH($B473&amp;$C473,'Smelter Look-up'!$J:$J,0))</f>
        <v>268</v>
      </c>
      <c r="W473" s="276"/>
      <c r="X473" s="276">
        <f t="shared" si="67"/>
        <v>0</v>
      </c>
      <c r="Y473" s="276"/>
      <c r="Z473" s="276"/>
      <c r="AB473" s="278" t="str">
        <f t="shared" si="68"/>
        <v>GoldUnited Precious Metal Refining, Inc.</v>
      </c>
    </row>
    <row r="474" spans="1:28" s="277" customFormat="1" ht="40.5">
      <c r="A474" s="216"/>
      <c r="B474" s="217" t="s">
        <v>1153</v>
      </c>
      <c r="C474" s="221" t="s">
        <v>1898</v>
      </c>
      <c r="D474" s="283" t="s">
        <v>15815</v>
      </c>
      <c r="E474" s="217" t="s">
        <v>917</v>
      </c>
      <c r="F474" s="217" t="s">
        <v>15816</v>
      </c>
      <c r="G474" s="217" t="s">
        <v>15513</v>
      </c>
      <c r="H474" s="218">
        <f ca="1">IF(ISERROR($V474),"",OFFSET('Smelter Look-up'!$G$4,$V474-4,0))</f>
        <v>0</v>
      </c>
      <c r="I474" s="219">
        <f ca="1">IF(ISERROR($V474),"",OFFSET('Smelter Look-up'!$H$4,$V474-4,0))</f>
        <v>0</v>
      </c>
      <c r="J474" s="219">
        <f ca="1">IF(ISERROR($V474),"",OFFSET('Smelter Look-up'!$I$4,$V474-4,0))</f>
        <v>0</v>
      </c>
      <c r="K474" s="273"/>
      <c r="L474" s="273"/>
      <c r="M474" s="273"/>
      <c r="N474" s="273"/>
      <c r="O474" s="273"/>
      <c r="P474" s="220"/>
      <c r="Q474" s="274"/>
      <c r="R474" s="217" t="str">
        <f ca="1">IF(ISERROR($V474),"",OFFSET('Smelter Look-up'!$C$4,$V474-4,0)&amp;"")</f>
        <v/>
      </c>
      <c r="S474" s="225" t="str">
        <f t="shared" ca="1" si="66"/>
        <v>ZM</v>
      </c>
      <c r="T474" s="225" t="str">
        <f ca="1">IF(B474="","",IF(ISERROR(MATCH($J474,SorP!$B$1:$B$6230,0)),"",INDIRECT("'SorP'!$A$"&amp;MATCH($J474,SorP!$B$1:$B$6230,0))))</f>
        <v/>
      </c>
      <c r="U474" s="241"/>
      <c r="V474" s="275">
        <f>IF(C474="",NA(),MATCH($B474&amp;$C474,'Smelter Look-up'!$J:$J,0))</f>
        <v>293</v>
      </c>
      <c r="W474" s="276"/>
      <c r="X474" s="276">
        <f t="shared" si="67"/>
        <v>0</v>
      </c>
      <c r="Y474" s="276"/>
      <c r="Z474" s="276"/>
      <c r="AB474" s="278" t="str">
        <f t="shared" si="68"/>
        <v>GoldSmelter not listed</v>
      </c>
    </row>
    <row r="475" spans="1:28" s="277" customFormat="1" ht="40.5">
      <c r="A475" s="216"/>
      <c r="B475" s="217" t="s">
        <v>1154</v>
      </c>
      <c r="C475" s="221" t="s">
        <v>1898</v>
      </c>
      <c r="D475" s="283" t="s">
        <v>15817</v>
      </c>
      <c r="E475" s="217" t="s">
        <v>911</v>
      </c>
      <c r="F475" s="217" t="s">
        <v>14250</v>
      </c>
      <c r="G475" s="217" t="s">
        <v>14250</v>
      </c>
      <c r="H475" s="218">
        <f ca="1">IF(ISERROR($V475),"",OFFSET('Smelter Look-up'!$G$4,$V475-4,0))</f>
        <v>0</v>
      </c>
      <c r="I475" s="219">
        <f ca="1">IF(ISERROR($V475),"",OFFSET('Smelter Look-up'!$H$4,$V475-4,0))</f>
        <v>0</v>
      </c>
      <c r="J475" s="219">
        <f ca="1">IF(ISERROR($V475),"",OFFSET('Smelter Look-up'!$I$4,$V475-4,0))</f>
        <v>0</v>
      </c>
      <c r="K475" s="273"/>
      <c r="L475" s="273"/>
      <c r="M475" s="273"/>
      <c r="N475" s="273"/>
      <c r="O475" s="273"/>
      <c r="P475" s="220"/>
      <c r="Q475" s="274"/>
      <c r="R475" s="217" t="str">
        <f ca="1">IF(ISERROR($V475),"",OFFSET('Smelter Look-up'!$C$4,$V475-4,0)&amp;"")</f>
        <v/>
      </c>
      <c r="S475" s="225" t="str">
        <f t="shared" ca="1" si="66"/>
        <v>TH</v>
      </c>
      <c r="T475" s="225" t="str">
        <f ca="1">IF(B475="","",IF(ISERROR(MATCH($J475,SorP!$B$1:$B$6230,0)),"",INDIRECT("'SorP'!$A$"&amp;MATCH($J475,SorP!$B$1:$B$6230,0))))</f>
        <v/>
      </c>
      <c r="U475" s="241"/>
      <c r="V475" s="275">
        <f>IF(C475="",NA(),MATCH($B475&amp;$C475,'Smelter Look-up'!$J:$J,0))</f>
        <v>484</v>
      </c>
      <c r="W475" s="276"/>
      <c r="X475" s="276">
        <f t="shared" si="67"/>
        <v>0</v>
      </c>
      <c r="Y475" s="276"/>
      <c r="Z475" s="276"/>
      <c r="AB475" s="278" t="str">
        <f t="shared" si="68"/>
        <v>TinSmelter not listed</v>
      </c>
    </row>
    <row r="476" spans="1:28" s="277" customFormat="1" ht="40.5">
      <c r="A476" s="216"/>
      <c r="B476" s="217" t="s">
        <v>1153</v>
      </c>
      <c r="C476" s="221" t="s">
        <v>2460</v>
      </c>
      <c r="D476" s="283" t="s">
        <v>2460</v>
      </c>
      <c r="E476" s="217" t="s">
        <v>1121</v>
      </c>
      <c r="F476" s="217" t="s">
        <v>757</v>
      </c>
      <c r="G476" s="217" t="s">
        <v>15513</v>
      </c>
      <c r="H476" s="218">
        <f ca="1">IF(ISERROR($V476),"",OFFSET('Smelter Look-up'!$G$4,$V476-4,0))</f>
        <v>0</v>
      </c>
      <c r="I476" s="219" t="str">
        <f ca="1">IF(ISERROR($V476),"",OFFSET('Smelter Look-up'!$H$4,$V476-4,0))</f>
        <v>Balerna</v>
      </c>
      <c r="J476" s="219" t="str">
        <f ca="1">IF(ISERROR($V476),"",OFFSET('Smelter Look-up'!$I$4,$V476-4,0))</f>
        <v>Ticino</v>
      </c>
      <c r="K476" s="273"/>
      <c r="L476" s="273"/>
      <c r="M476" s="273"/>
      <c r="N476" s="273"/>
      <c r="O476" s="273"/>
      <c r="P476" s="220"/>
      <c r="Q476" s="274"/>
      <c r="R476" s="217" t="str">
        <f ca="1">IF(ISERROR($V476),"",OFFSET('Smelter Look-up'!$C$4,$V476-4,0)&amp;"")</f>
        <v>Valcambi S.A.</v>
      </c>
      <c r="S476" s="225" t="str">
        <f t="shared" ca="1" si="66"/>
        <v>CH</v>
      </c>
      <c r="T476" s="225" t="str">
        <f ca="1">IF(B476="","",IF(ISERROR(MATCH($J476,SorP!$B$1:$B$6230,0)),"",INDIRECT("'SorP'!$A$"&amp;MATCH($J476,SorP!$B$1:$B$6230,0))))</f>
        <v>CH-TI</v>
      </c>
      <c r="U476" s="241"/>
      <c r="V476" s="275">
        <f>IF(C476="",NA(),MATCH($B476&amp;$C476,'Smelter Look-up'!$J:$J,0))</f>
        <v>269</v>
      </c>
      <c r="W476" s="276"/>
      <c r="X476" s="276">
        <f t="shared" si="67"/>
        <v>0</v>
      </c>
      <c r="Y476" s="276"/>
      <c r="Z476" s="276"/>
      <c r="AB476" s="278" t="str">
        <f t="shared" si="68"/>
        <v>GoldValcambi S.A.</v>
      </c>
    </row>
    <row r="477" spans="1:28" s="277" customFormat="1" ht="40.5">
      <c r="A477" s="216"/>
      <c r="B477" s="217" t="s">
        <v>1153</v>
      </c>
      <c r="C477" s="221" t="s">
        <v>1898</v>
      </c>
      <c r="D477" s="283" t="s">
        <v>15818</v>
      </c>
      <c r="E477" s="217" t="s">
        <v>1123</v>
      </c>
      <c r="F477" s="217" t="s">
        <v>14250</v>
      </c>
      <c r="G477" s="217" t="s">
        <v>14250</v>
      </c>
      <c r="H477" s="218">
        <f ca="1">IF(ISERROR($V477),"",OFFSET('Smelter Look-up'!$G$4,$V477-4,0))</f>
        <v>0</v>
      </c>
      <c r="I477" s="219">
        <f ca="1">IF(ISERROR($V477),"",OFFSET('Smelter Look-up'!$H$4,$V477-4,0))</f>
        <v>0</v>
      </c>
      <c r="J477" s="219">
        <f ca="1">IF(ISERROR($V477),"",OFFSET('Smelter Look-up'!$I$4,$V477-4,0))</f>
        <v>0</v>
      </c>
      <c r="K477" s="273"/>
      <c r="L477" s="273"/>
      <c r="M477" s="273"/>
      <c r="N477" s="273"/>
      <c r="O477" s="273"/>
      <c r="P477" s="220"/>
      <c r="Q477" s="274"/>
      <c r="R477" s="217" t="str">
        <f ca="1">IF(ISERROR($V477),"",OFFSET('Smelter Look-up'!$C$4,$V477-4,0)&amp;"")</f>
        <v/>
      </c>
      <c r="S477" s="225" t="str">
        <f t="shared" ca="1" si="66"/>
        <v>CN</v>
      </c>
      <c r="T477" s="225" t="str">
        <f ca="1">IF(B477="","",IF(ISERROR(MATCH($J477,SorP!$B$1:$B$6230,0)),"",INDIRECT("'SorP'!$A$"&amp;MATCH($J477,SorP!$B$1:$B$6230,0))))</f>
        <v/>
      </c>
      <c r="U477" s="241"/>
      <c r="V477" s="275">
        <f>IF(C477="",NA(),MATCH($B477&amp;$C477,'Smelter Look-up'!$J:$J,0))</f>
        <v>293</v>
      </c>
      <c r="W477" s="276"/>
      <c r="X477" s="276">
        <f t="shared" si="67"/>
        <v>0</v>
      </c>
      <c r="Y477" s="276"/>
      <c r="Z477" s="276"/>
      <c r="AB477" s="278" t="str">
        <f t="shared" si="68"/>
        <v>GoldSmelter not listed</v>
      </c>
    </row>
    <row r="478" spans="1:28" s="277" customFormat="1" ht="54">
      <c r="A478" s="216"/>
      <c r="B478" s="217" t="s">
        <v>1156</v>
      </c>
      <c r="C478" s="221" t="s">
        <v>1898</v>
      </c>
      <c r="D478" s="283" t="s">
        <v>15819</v>
      </c>
      <c r="E478" s="217" t="s">
        <v>915</v>
      </c>
      <c r="F478" s="217" t="s">
        <v>15820</v>
      </c>
      <c r="G478" s="217" t="s">
        <v>15513</v>
      </c>
      <c r="H478" s="218">
        <f ca="1">IF(ISERROR($V478),"",OFFSET('Smelter Look-up'!$G$4,$V478-4,0))</f>
        <v>0</v>
      </c>
      <c r="I478" s="219">
        <f ca="1">IF(ISERROR($V478),"",OFFSET('Smelter Look-up'!$H$4,$V478-4,0))</f>
        <v>0</v>
      </c>
      <c r="J478" s="219">
        <f ca="1">IF(ISERROR($V478),"",OFFSET('Smelter Look-up'!$I$4,$V478-4,0))</f>
        <v>0</v>
      </c>
      <c r="K478" s="273"/>
      <c r="L478" s="273"/>
      <c r="M478" s="273"/>
      <c r="N478" s="273"/>
      <c r="O478" s="273"/>
      <c r="P478" s="220"/>
      <c r="Q478" s="274"/>
      <c r="R478" s="217" t="str">
        <f ca="1">IF(ISERROR($V478),"",OFFSET('Smelter Look-up'!$C$4,$V478-4,0)&amp;"")</f>
        <v/>
      </c>
      <c r="S478" s="225" t="str">
        <f t="shared" ca="1" si="66"/>
        <v>VN</v>
      </c>
      <c r="T478" s="225" t="str">
        <f ca="1">IF(B478="","",IF(ISERROR(MATCH($J478,SorP!$B$1:$B$6230,0)),"",INDIRECT("'SorP'!$A$"&amp;MATCH($J478,SorP!$B$1:$B$6230,0))))</f>
        <v/>
      </c>
      <c r="U478" s="241"/>
      <c r="V478" s="275">
        <f>IF(C478="",NA(),MATCH($B478&amp;$C478,'Smelter Look-up'!$J:$J,0))</f>
        <v>590</v>
      </c>
      <c r="W478" s="276"/>
      <c r="X478" s="276">
        <f t="shared" si="67"/>
        <v>0</v>
      </c>
      <c r="Y478" s="276"/>
      <c r="Z478" s="276"/>
      <c r="AB478" s="278" t="str">
        <f t="shared" si="68"/>
        <v>TungstenSmelter not listed</v>
      </c>
    </row>
    <row r="479" spans="1:28" s="277" customFormat="1" ht="40.5">
      <c r="A479" s="216"/>
      <c r="B479" s="217" t="s">
        <v>1154</v>
      </c>
      <c r="C479" s="221" t="s">
        <v>1898</v>
      </c>
      <c r="D479" s="283" t="s">
        <v>15821</v>
      </c>
      <c r="E479" s="217" t="s">
        <v>915</v>
      </c>
      <c r="F479" s="217" t="s">
        <v>15822</v>
      </c>
      <c r="G479" s="217" t="s">
        <v>15513</v>
      </c>
      <c r="H479" s="218">
        <f ca="1">IF(ISERROR($V479),"",OFFSET('Smelter Look-up'!$G$4,$V479-4,0))</f>
        <v>0</v>
      </c>
      <c r="I479" s="219">
        <f ca="1">IF(ISERROR($V479),"",OFFSET('Smelter Look-up'!$H$4,$V479-4,0))</f>
        <v>0</v>
      </c>
      <c r="J479" s="219">
        <f ca="1">IF(ISERROR($V479),"",OFFSET('Smelter Look-up'!$I$4,$V479-4,0))</f>
        <v>0</v>
      </c>
      <c r="K479" s="273"/>
      <c r="L479" s="273"/>
      <c r="M479" s="273"/>
      <c r="N479" s="273"/>
      <c r="O479" s="273"/>
      <c r="P479" s="220"/>
      <c r="Q479" s="274"/>
      <c r="R479" s="217" t="str">
        <f ca="1">IF(ISERROR($V479),"",OFFSET('Smelter Look-up'!$C$4,$V479-4,0)&amp;"")</f>
        <v/>
      </c>
      <c r="S479" s="225" t="str">
        <f t="shared" ca="1" si="66"/>
        <v>VN</v>
      </c>
      <c r="T479" s="225" t="str">
        <f ca="1">IF(B479="","",IF(ISERROR(MATCH($J479,SorP!$B$1:$B$6230,0)),"",INDIRECT("'SorP'!$A$"&amp;MATCH($J479,SorP!$B$1:$B$6230,0))))</f>
        <v/>
      </c>
      <c r="U479" s="241"/>
      <c r="V479" s="275">
        <f>IF(C479="",NA(),MATCH($B479&amp;$C479,'Smelter Look-up'!$J:$J,0))</f>
        <v>484</v>
      </c>
      <c r="W479" s="276"/>
      <c r="X479" s="276">
        <f t="shared" si="67"/>
        <v>0</v>
      </c>
      <c r="Y479" s="276"/>
      <c r="Z479" s="276"/>
      <c r="AB479" s="278" t="str">
        <f t="shared" si="68"/>
        <v>TinSmelter not listed</v>
      </c>
    </row>
    <row r="480" spans="1:28" s="277" customFormat="1" ht="40.5">
      <c r="A480" s="216"/>
      <c r="B480" s="217" t="s">
        <v>1153</v>
      </c>
      <c r="C480" s="221" t="s">
        <v>1898</v>
      </c>
      <c r="D480" s="283" t="s">
        <v>15823</v>
      </c>
      <c r="E480" s="217" t="s">
        <v>1123</v>
      </c>
      <c r="F480" s="217" t="s">
        <v>14250</v>
      </c>
      <c r="G480" s="217" t="s">
        <v>14250</v>
      </c>
      <c r="H480" s="218">
        <f ca="1">IF(ISERROR($V480),"",OFFSET('Smelter Look-up'!$G$4,$V480-4,0))</f>
        <v>0</v>
      </c>
      <c r="I480" s="219">
        <f ca="1">IF(ISERROR($V480),"",OFFSET('Smelter Look-up'!$H$4,$V480-4,0))</f>
        <v>0</v>
      </c>
      <c r="J480" s="219">
        <f ca="1">IF(ISERROR($V480),"",OFFSET('Smelter Look-up'!$I$4,$V480-4,0))</f>
        <v>0</v>
      </c>
      <c r="K480" s="273"/>
      <c r="L480" s="273"/>
      <c r="M480" s="273"/>
      <c r="N480" s="273"/>
      <c r="O480" s="273"/>
      <c r="P480" s="220"/>
      <c r="Q480" s="274"/>
      <c r="R480" s="217" t="str">
        <f ca="1">IF(ISERROR($V480),"",OFFSET('Smelter Look-up'!$C$4,$V480-4,0)&amp;"")</f>
        <v/>
      </c>
      <c r="S480" s="225" t="str">
        <f t="shared" ca="1" si="66"/>
        <v>CN</v>
      </c>
      <c r="T480" s="225" t="str">
        <f ca="1">IF(B480="","",IF(ISERROR(MATCH($J480,SorP!$B$1:$B$6230,0)),"",INDIRECT("'SorP'!$A$"&amp;MATCH($J480,SorP!$B$1:$B$6230,0))))</f>
        <v/>
      </c>
      <c r="U480" s="241"/>
      <c r="V480" s="275">
        <f>IF(C480="",NA(),MATCH($B480&amp;$C480,'Smelter Look-up'!$J:$J,0))</f>
        <v>293</v>
      </c>
      <c r="W480" s="276"/>
      <c r="X480" s="276">
        <f t="shared" si="67"/>
        <v>0</v>
      </c>
      <c r="Y480" s="276"/>
      <c r="Z480" s="276"/>
      <c r="AB480" s="278" t="str">
        <f t="shared" si="68"/>
        <v>GoldSmelter not listed</v>
      </c>
    </row>
    <row r="481" spans="1:28" s="277" customFormat="1" ht="40.5">
      <c r="A481" s="216"/>
      <c r="B481" s="217" t="s">
        <v>1154</v>
      </c>
      <c r="C481" s="221" t="s">
        <v>1898</v>
      </c>
      <c r="D481" s="283" t="s">
        <v>15824</v>
      </c>
      <c r="E481" s="217" t="s">
        <v>2575</v>
      </c>
      <c r="F481" s="217" t="s">
        <v>14250</v>
      </c>
      <c r="G481" s="217" t="s">
        <v>14250</v>
      </c>
      <c r="H481" s="218">
        <f ca="1">IF(ISERROR($V481),"",OFFSET('Smelter Look-up'!$G$4,$V481-4,0))</f>
        <v>0</v>
      </c>
      <c r="I481" s="219">
        <f ca="1">IF(ISERROR($V481),"",OFFSET('Smelter Look-up'!$H$4,$V481-4,0))</f>
        <v>0</v>
      </c>
      <c r="J481" s="219">
        <f ca="1">IF(ISERROR($V481),"",OFFSET('Smelter Look-up'!$I$4,$V481-4,0))</f>
        <v>0</v>
      </c>
      <c r="K481" s="273"/>
      <c r="L481" s="273"/>
      <c r="M481" s="273"/>
      <c r="N481" s="273"/>
      <c r="O481" s="273"/>
      <c r="P481" s="220"/>
      <c r="Q481" s="274"/>
      <c r="R481" s="217" t="str">
        <f ca="1">IF(ISERROR($V481),"",OFFSET('Smelter Look-up'!$C$4,$V481-4,0)&amp;"")</f>
        <v/>
      </c>
      <c r="S481" s="225" t="str">
        <f t="shared" ca="1" si="66"/>
        <v>TW</v>
      </c>
      <c r="T481" s="225" t="str">
        <f ca="1">IF(B481="","",IF(ISERROR(MATCH($J481,SorP!$B$1:$B$6230,0)),"",INDIRECT("'SorP'!$A$"&amp;MATCH($J481,SorP!$B$1:$B$6230,0))))</f>
        <v/>
      </c>
      <c r="U481" s="241"/>
      <c r="V481" s="275">
        <f>IF(C481="",NA(),MATCH($B481&amp;$C481,'Smelter Look-up'!$J:$J,0))</f>
        <v>484</v>
      </c>
      <c r="W481" s="276"/>
      <c r="X481" s="276">
        <f t="shared" si="67"/>
        <v>0</v>
      </c>
      <c r="Y481" s="276"/>
      <c r="Z481" s="276"/>
      <c r="AB481" s="278" t="str">
        <f t="shared" si="68"/>
        <v>TinSmelter not listed</v>
      </c>
    </row>
    <row r="482" spans="1:28" s="277" customFormat="1" ht="94.5">
      <c r="A482" s="216"/>
      <c r="B482" s="217" t="s">
        <v>1153</v>
      </c>
      <c r="C482" s="221" t="s">
        <v>2634</v>
      </c>
      <c r="D482" s="283" t="s">
        <v>2634</v>
      </c>
      <c r="E482" s="217" t="s">
        <v>1116</v>
      </c>
      <c r="F482" s="217" t="s">
        <v>758</v>
      </c>
      <c r="G482" s="217" t="s">
        <v>15513</v>
      </c>
      <c r="H482" s="218">
        <f ca="1">IF(ISERROR($V482),"",OFFSET('Smelter Look-up'!$G$4,$V482-4,0))</f>
        <v>0</v>
      </c>
      <c r="I482" s="219" t="str">
        <f ca="1">IF(ISERROR($V482),"",OFFSET('Smelter Look-up'!$H$4,$V482-4,0))</f>
        <v>Newburn</v>
      </c>
      <c r="J482" s="219" t="str">
        <f ca="1">IF(ISERROR($V482),"",OFFSET('Smelter Look-up'!$I$4,$V482-4,0))</f>
        <v>Western Australia</v>
      </c>
      <c r="K482" s="273"/>
      <c r="L482" s="273"/>
      <c r="M482" s="273"/>
      <c r="N482" s="273"/>
      <c r="O482" s="273"/>
      <c r="P482" s="220"/>
      <c r="Q482" s="274"/>
      <c r="R482" s="217" t="str">
        <f ca="1">IF(ISERROR($V482),"",OFFSET('Smelter Look-up'!$C$4,$V482-4,0)&amp;"")</f>
        <v>Western Australian Mint (T/a The Perth Mint)</v>
      </c>
      <c r="S482" s="225" t="str">
        <f t="shared" ca="1" si="66"/>
        <v>AU</v>
      </c>
      <c r="T482" s="225" t="str">
        <f ca="1">IF(B482="","",IF(ISERROR(MATCH($J482,SorP!$B$1:$B$6230,0)),"",INDIRECT("'SorP'!$A$"&amp;MATCH($J482,SorP!$B$1:$B$6230,0))))</f>
        <v>AU-WA</v>
      </c>
      <c r="U482" s="241"/>
      <c r="V482" s="275">
        <f>IF(C482="",NA(),MATCH($B482&amp;$C482,'Smelter Look-up'!$J:$J,0))</f>
        <v>270</v>
      </c>
      <c r="W482" s="276"/>
      <c r="X482" s="276">
        <f t="shared" si="67"/>
        <v>0</v>
      </c>
      <c r="Y482" s="276"/>
      <c r="Z482" s="276"/>
      <c r="AB482" s="278" t="str">
        <f t="shared" si="68"/>
        <v>GoldWestern Australian Mint (T/a The Perth Mint)</v>
      </c>
    </row>
    <row r="483" spans="1:28" s="277" customFormat="1" ht="81">
      <c r="A483" s="216"/>
      <c r="B483" s="217" t="s">
        <v>1154</v>
      </c>
      <c r="C483" s="221" t="s">
        <v>2681</v>
      </c>
      <c r="D483" s="283" t="s">
        <v>2681</v>
      </c>
      <c r="E483" s="217" t="s">
        <v>1119</v>
      </c>
      <c r="F483" s="217" t="s">
        <v>807</v>
      </c>
      <c r="G483" s="217" t="s">
        <v>15513</v>
      </c>
      <c r="H483" s="218">
        <f ca="1">IF(ISERROR($V483),"",OFFSET('Smelter Look-up'!$G$4,$V483-4,0))</f>
        <v>0</v>
      </c>
      <c r="I483" s="219" t="str">
        <f ca="1">IF(ISERROR($V483),"",OFFSET('Smelter Look-up'!$H$4,$V483-4,0))</f>
        <v>Ariquemes</v>
      </c>
      <c r="J483" s="219" t="str">
        <f ca="1">IF(ISERROR($V483),"",OFFSET('Smelter Look-up'!$I$4,$V483-4,0))</f>
        <v>Rondônia</v>
      </c>
      <c r="K483" s="273"/>
      <c r="L483" s="273"/>
      <c r="M483" s="273"/>
      <c r="N483" s="273"/>
      <c r="O483" s="273"/>
      <c r="P483" s="220"/>
      <c r="Q483" s="274"/>
      <c r="R483" s="217" t="str">
        <f ca="1">IF(ISERROR($V483),"",OFFSET('Smelter Look-up'!$C$4,$V483-4,0)&amp;"")</f>
        <v>White Solder Metalurgia e Mineracao Ltda.</v>
      </c>
      <c r="S483" s="225" t="str">
        <f t="shared" ca="1" si="66"/>
        <v>BR</v>
      </c>
      <c r="T483" s="225" t="str">
        <f ca="1">IF(B483="","",IF(ISERROR(MATCH($J483,SorP!$B$1:$B$6230,0)),"",INDIRECT("'SorP'!$A$"&amp;MATCH($J483,SorP!$B$1:$B$6230,0))))</f>
        <v>BR-RO</v>
      </c>
      <c r="U483" s="241"/>
      <c r="V483" s="275">
        <f>IF(C483="",NA(),MATCH($B483&amp;$C483,'Smelter Look-up'!$J:$J,0))</f>
        <v>465</v>
      </c>
      <c r="W483" s="276"/>
      <c r="X483" s="276">
        <f t="shared" si="67"/>
        <v>0</v>
      </c>
      <c r="Y483" s="276"/>
      <c r="Z483" s="276"/>
      <c r="AB483" s="278" t="str">
        <f t="shared" si="68"/>
        <v>TinWhite Solder Metalurgia e Mineracao Ltda.</v>
      </c>
    </row>
    <row r="484" spans="1:28" s="277" customFormat="1" ht="67.5">
      <c r="A484" s="216"/>
      <c r="B484" s="217" t="s">
        <v>1153</v>
      </c>
      <c r="C484" s="221" t="s">
        <v>2312</v>
      </c>
      <c r="D484" s="283" t="s">
        <v>2312</v>
      </c>
      <c r="E484" s="217" t="s">
        <v>1124</v>
      </c>
      <c r="F484" s="217" t="s">
        <v>2315</v>
      </c>
      <c r="G484" s="217" t="s">
        <v>15513</v>
      </c>
      <c r="H484" s="218">
        <f ca="1">IF(ISERROR($V484),"",OFFSET('Smelter Look-up'!$G$4,$V484-4,0))</f>
        <v>0</v>
      </c>
      <c r="I484" s="219" t="str">
        <f ca="1">IF(ISERROR($V484),"",OFFSET('Smelter Look-up'!$H$4,$V484-4,0))</f>
        <v>Pforzheim</v>
      </c>
      <c r="J484" s="219" t="str">
        <f ca="1">IF(ISERROR($V484),"",OFFSET('Smelter Look-up'!$I$4,$V484-4,0))</f>
        <v>Baden-Württemberg</v>
      </c>
      <c r="K484" s="273"/>
      <c r="L484" s="273"/>
      <c r="M484" s="273"/>
      <c r="N484" s="273"/>
      <c r="O484" s="273"/>
      <c r="P484" s="220"/>
      <c r="Q484" s="274"/>
      <c r="R484" s="217" t="str">
        <f ca="1">IF(ISERROR($V484),"",OFFSET('Smelter Look-up'!$C$4,$V484-4,0)&amp;"")</f>
        <v>WIELAND Edelmetalle GmbH</v>
      </c>
      <c r="S484" s="225" t="str">
        <f t="shared" ca="1" si="66"/>
        <v>DE</v>
      </c>
      <c r="T484" s="225" t="str">
        <f ca="1">IF(B484="","",IF(ISERROR(MATCH($J484,SorP!$B$1:$B$6230,0)),"",INDIRECT("'SorP'!$A$"&amp;MATCH($J484,SorP!$B$1:$B$6230,0))))</f>
        <v>DE-BW</v>
      </c>
      <c r="U484" s="241"/>
      <c r="V484" s="275">
        <f>IF(C484="",NA(),MATCH($B484&amp;$C484,'Smelter Look-up'!$J:$J,0))</f>
        <v>271</v>
      </c>
      <c r="W484" s="276"/>
      <c r="X484" s="276">
        <f t="shared" si="67"/>
        <v>0</v>
      </c>
      <c r="Y484" s="276"/>
      <c r="Z484" s="276"/>
      <c r="AB484" s="278" t="str">
        <f t="shared" si="68"/>
        <v>GoldWIELAND Edelmetalle GmbH</v>
      </c>
    </row>
    <row r="485" spans="1:28" s="277" customFormat="1" ht="94.5">
      <c r="A485" s="216"/>
      <c r="B485" s="217" t="s">
        <v>1156</v>
      </c>
      <c r="C485" s="221" t="s">
        <v>2690</v>
      </c>
      <c r="D485" s="283" t="s">
        <v>2690</v>
      </c>
      <c r="E485" s="217" t="s">
        <v>1117</v>
      </c>
      <c r="F485" s="217" t="s">
        <v>822</v>
      </c>
      <c r="G485" s="217" t="s">
        <v>15513</v>
      </c>
      <c r="H485" s="218">
        <f ca="1">IF(ISERROR($V485),"",OFFSET('Smelter Look-up'!$G$4,$V485-4,0))</f>
        <v>0</v>
      </c>
      <c r="I485" s="219" t="str">
        <f ca="1">IF(ISERROR($V485),"",OFFSET('Smelter Look-up'!$H$4,$V485-4,0))</f>
        <v>St. Martin i-S</v>
      </c>
      <c r="J485" s="219" t="str">
        <f ca="1">IF(ISERROR($V485),"",OFFSET('Smelter Look-up'!$I$4,$V485-4,0))</f>
        <v>Steiermark</v>
      </c>
      <c r="K485" s="273"/>
      <c r="L485" s="273"/>
      <c r="M485" s="273"/>
      <c r="N485" s="273"/>
      <c r="O485" s="273"/>
      <c r="P485" s="220"/>
      <c r="Q485" s="274"/>
      <c r="R485" s="217" t="str">
        <f ca="1">IF(ISERROR($V485),"",OFFSET('Smelter Look-up'!$C$4,$V485-4,0)&amp;"")</f>
        <v>Wolfram Bergbau und Hutten AG</v>
      </c>
      <c r="S485" s="225" t="str">
        <f t="shared" ca="1" si="66"/>
        <v>AT</v>
      </c>
      <c r="T485" s="225" t="str">
        <f ca="1">IF(B485="","",IF(ISERROR(MATCH($J485,SorP!$B$1:$B$6230,0)),"",INDIRECT("'SorP'!$A$"&amp;MATCH($J485,SorP!$B$1:$B$6230,0))))</f>
        <v>AT-6</v>
      </c>
      <c r="U485" s="241"/>
      <c r="V485" s="275">
        <f>IF(C485="",NA(),MATCH($B485&amp;$C485,'Smelter Look-up'!$J:$J,0))</f>
        <v>553</v>
      </c>
      <c r="W485" s="276"/>
      <c r="X485" s="276">
        <f t="shared" si="67"/>
        <v>0</v>
      </c>
      <c r="Y485" s="276"/>
      <c r="Z485" s="276"/>
      <c r="AB485" s="278" t="str">
        <f t="shared" si="68"/>
        <v>TungstenWolfram Bergbau und Hutten AG</v>
      </c>
    </row>
    <row r="486" spans="1:28" s="277" customFormat="1" ht="54">
      <c r="A486" s="216"/>
      <c r="B486" s="217" t="s">
        <v>1156</v>
      </c>
      <c r="C486" s="221" t="s">
        <v>2395</v>
      </c>
      <c r="D486" s="283" t="s">
        <v>2395</v>
      </c>
      <c r="E486" s="217" t="s">
        <v>1134</v>
      </c>
      <c r="F486" s="217" t="s">
        <v>2396</v>
      </c>
      <c r="G486" s="217" t="s">
        <v>15513</v>
      </c>
      <c r="H486" s="218">
        <f ca="1">IF(ISERROR($V486),"",OFFSET('Smelter Look-up'!$G$4,$V486-4,0))</f>
        <v>0</v>
      </c>
      <c r="I486" s="219" t="str">
        <f ca="1">IF(ISERROR($V486),"",OFFSET('Smelter Look-up'!$H$4,$V486-4,0))</f>
        <v>Gyeongju-si</v>
      </c>
      <c r="J486" s="219" t="str">
        <f ca="1">IF(ISERROR($V486),"",OFFSET('Smelter Look-up'!$I$4,$V486-4,0))</f>
        <v>Gyeongsangbuk-do</v>
      </c>
      <c r="K486" s="273"/>
      <c r="L486" s="273"/>
      <c r="M486" s="273"/>
      <c r="N486" s="273"/>
      <c r="O486" s="273"/>
      <c r="P486" s="220"/>
      <c r="Q486" s="274"/>
      <c r="R486" s="217" t="str">
        <f ca="1">IF(ISERROR($V486),"",OFFSET('Smelter Look-up'!$C$4,$V486-4,0)&amp;"")</f>
        <v>Woltech Korea Co., Ltd.</v>
      </c>
      <c r="S486" s="225" t="str">
        <f t="shared" ref="S486:S516" ca="1" si="69">IF(B486="","",IF(ISERROR(MATCH($E486,CL,0)),"Unknown",INDIRECT("'C'!$A$"&amp;MATCH($E486,CL,0)+1)))</f>
        <v>KR</v>
      </c>
      <c r="T486" s="225" t="str">
        <f ca="1">IF(B486="","",IF(ISERROR(MATCH($J486,SorP!$B$1:$B$6230,0)),"",INDIRECT("'SorP'!$A$"&amp;MATCH($J486,SorP!$B$1:$B$6230,0))))</f>
        <v>KR-47</v>
      </c>
      <c r="U486" s="241"/>
      <c r="V486" s="275">
        <f>IF(C486="",NA(),MATCH($B486&amp;$C486,'Smelter Look-up'!$J:$J,0))</f>
        <v>555</v>
      </c>
      <c r="W486" s="276"/>
      <c r="X486" s="276">
        <f t="shared" ref="X486:X516" si="70">IF(AND(C486="Smelter not listed",OR(LEN(D486)=0,LEN(E486)=0)),1,0)</f>
        <v>0</v>
      </c>
      <c r="Y486" s="276"/>
      <c r="Z486" s="276"/>
      <c r="AB486" s="278" t="str">
        <f t="shared" ref="AB486:AB516" si="71">B486&amp;C486</f>
        <v>TungstenWoltech Korea Co., Ltd.</v>
      </c>
    </row>
    <row r="487" spans="1:28" s="277" customFormat="1" ht="40.5">
      <c r="A487" s="216"/>
      <c r="B487" s="217" t="s">
        <v>1154</v>
      </c>
      <c r="C487" s="221" t="s">
        <v>1898</v>
      </c>
      <c r="D487" s="283" t="s">
        <v>15825</v>
      </c>
      <c r="E487" s="217" t="s">
        <v>1123</v>
      </c>
      <c r="F487" s="217" t="s">
        <v>14250</v>
      </c>
      <c r="G487" s="217" t="s">
        <v>14250</v>
      </c>
      <c r="H487" s="218">
        <f ca="1">IF(ISERROR($V487),"",OFFSET('Smelter Look-up'!$G$4,$V487-4,0))</f>
        <v>0</v>
      </c>
      <c r="I487" s="219">
        <f ca="1">IF(ISERROR($V487),"",OFFSET('Smelter Look-up'!$H$4,$V487-4,0))</f>
        <v>0</v>
      </c>
      <c r="J487" s="219">
        <f ca="1">IF(ISERROR($V487),"",OFFSET('Smelter Look-up'!$I$4,$V487-4,0))</f>
        <v>0</v>
      </c>
      <c r="K487" s="273"/>
      <c r="L487" s="273"/>
      <c r="M487" s="273"/>
      <c r="N487" s="273"/>
      <c r="O487" s="273"/>
      <c r="P487" s="220"/>
      <c r="Q487" s="274"/>
      <c r="R487" s="217" t="str">
        <f ca="1">IF(ISERROR($V487),"",OFFSET('Smelter Look-up'!$C$4,$V487-4,0)&amp;"")</f>
        <v/>
      </c>
      <c r="S487" s="225" t="str">
        <f t="shared" ca="1" si="69"/>
        <v>CN</v>
      </c>
      <c r="T487" s="225" t="str">
        <f ca="1">IF(B487="","",IF(ISERROR(MATCH($J487,SorP!$B$1:$B$6230,0)),"",INDIRECT("'SorP'!$A$"&amp;MATCH($J487,SorP!$B$1:$B$6230,0))))</f>
        <v/>
      </c>
      <c r="U487" s="241"/>
      <c r="V487" s="275">
        <f>IF(C487="",NA(),MATCH($B487&amp;$C487,'Smelter Look-up'!$J:$J,0))</f>
        <v>484</v>
      </c>
      <c r="W487" s="276"/>
      <c r="X487" s="276">
        <f t="shared" si="70"/>
        <v>0</v>
      </c>
      <c r="Y487" s="276"/>
      <c r="Z487" s="276"/>
      <c r="AB487" s="278" t="str">
        <f t="shared" si="71"/>
        <v>TinSmelter not listed</v>
      </c>
    </row>
    <row r="488" spans="1:28" s="277" customFormat="1" ht="40.5">
      <c r="A488" s="216"/>
      <c r="B488" s="217" t="s">
        <v>1153</v>
      </c>
      <c r="C488" s="221" t="s">
        <v>1898</v>
      </c>
      <c r="D488" s="283" t="s">
        <v>15826</v>
      </c>
      <c r="E488" s="217" t="s">
        <v>1123</v>
      </c>
      <c r="F488" s="217" t="s">
        <v>14250</v>
      </c>
      <c r="G488" s="217" t="s">
        <v>14250</v>
      </c>
      <c r="H488" s="218">
        <f ca="1">IF(ISERROR($V488),"",OFFSET('Smelter Look-up'!$G$4,$V488-4,0))</f>
        <v>0</v>
      </c>
      <c r="I488" s="219">
        <f ca="1">IF(ISERROR($V488),"",OFFSET('Smelter Look-up'!$H$4,$V488-4,0))</f>
        <v>0</v>
      </c>
      <c r="J488" s="219">
        <f ca="1">IF(ISERROR($V488),"",OFFSET('Smelter Look-up'!$I$4,$V488-4,0))</f>
        <v>0</v>
      </c>
      <c r="K488" s="273"/>
      <c r="L488" s="273"/>
      <c r="M488" s="273"/>
      <c r="N488" s="273"/>
      <c r="O488" s="273"/>
      <c r="P488" s="220"/>
      <c r="Q488" s="274"/>
      <c r="R488" s="217" t="str">
        <f ca="1">IF(ISERROR($V488),"",OFFSET('Smelter Look-up'!$C$4,$V488-4,0)&amp;"")</f>
        <v/>
      </c>
      <c r="S488" s="225" t="str">
        <f t="shared" ca="1" si="69"/>
        <v>CN</v>
      </c>
      <c r="T488" s="225" t="str">
        <f ca="1">IF(B488="","",IF(ISERROR(MATCH($J488,SorP!$B$1:$B$6230,0)),"",INDIRECT("'SorP'!$A$"&amp;MATCH($J488,SorP!$B$1:$B$6230,0))))</f>
        <v/>
      </c>
      <c r="U488" s="241"/>
      <c r="V488" s="275">
        <f>IF(C488="",NA(),MATCH($B488&amp;$C488,'Smelter Look-up'!$J:$J,0))</f>
        <v>293</v>
      </c>
      <c r="W488" s="276"/>
      <c r="X488" s="276">
        <f t="shared" si="70"/>
        <v>0</v>
      </c>
      <c r="Y488" s="276"/>
      <c r="Z488" s="276"/>
      <c r="AB488" s="278" t="str">
        <f t="shared" si="71"/>
        <v>GoldSmelter not listed</v>
      </c>
    </row>
    <row r="489" spans="1:28" s="277" customFormat="1" ht="40.5">
      <c r="A489" s="216"/>
      <c r="B489" s="217" t="s">
        <v>1154</v>
      </c>
      <c r="C489" s="221" t="s">
        <v>1898</v>
      </c>
      <c r="D489" s="283" t="s">
        <v>15827</v>
      </c>
      <c r="E489" s="217" t="s">
        <v>1123</v>
      </c>
      <c r="F489" s="217" t="s">
        <v>14250</v>
      </c>
      <c r="G489" s="217" t="s">
        <v>14250</v>
      </c>
      <c r="H489" s="218">
        <f ca="1">IF(ISERROR($V489),"",OFFSET('Smelter Look-up'!$G$4,$V489-4,0))</f>
        <v>0</v>
      </c>
      <c r="I489" s="219">
        <f ca="1">IF(ISERROR($V489),"",OFFSET('Smelter Look-up'!$H$4,$V489-4,0))</f>
        <v>0</v>
      </c>
      <c r="J489" s="219">
        <f ca="1">IF(ISERROR($V489),"",OFFSET('Smelter Look-up'!$I$4,$V489-4,0))</f>
        <v>0</v>
      </c>
      <c r="K489" s="273"/>
      <c r="L489" s="273"/>
      <c r="M489" s="273"/>
      <c r="N489" s="273"/>
      <c r="O489" s="273"/>
      <c r="P489" s="220"/>
      <c r="Q489" s="274"/>
      <c r="R489" s="217" t="str">
        <f ca="1">IF(ISERROR($V489),"",OFFSET('Smelter Look-up'!$C$4,$V489-4,0)&amp;"")</f>
        <v/>
      </c>
      <c r="S489" s="225" t="str">
        <f t="shared" ca="1" si="69"/>
        <v>CN</v>
      </c>
      <c r="T489" s="225" t="str">
        <f ca="1">IF(B489="","",IF(ISERROR(MATCH($J489,SorP!$B$1:$B$6230,0)),"",INDIRECT("'SorP'!$A$"&amp;MATCH($J489,SorP!$B$1:$B$6230,0))))</f>
        <v/>
      </c>
      <c r="U489" s="241"/>
      <c r="V489" s="275">
        <f>IF(C489="",NA(),MATCH($B489&amp;$C489,'Smelter Look-up'!$J:$J,0))</f>
        <v>484</v>
      </c>
      <c r="W489" s="276"/>
      <c r="X489" s="276">
        <f t="shared" si="70"/>
        <v>0</v>
      </c>
      <c r="Y489" s="276"/>
      <c r="Z489" s="276"/>
      <c r="AB489" s="278" t="str">
        <f t="shared" si="71"/>
        <v>TinSmelter not listed</v>
      </c>
    </row>
    <row r="490" spans="1:28" s="277" customFormat="1" ht="40.5">
      <c r="A490" s="216"/>
      <c r="B490" s="217" t="s">
        <v>1153</v>
      </c>
      <c r="C490" s="221" t="s">
        <v>1898</v>
      </c>
      <c r="D490" s="283" t="s">
        <v>15828</v>
      </c>
      <c r="E490" s="217" t="s">
        <v>1123</v>
      </c>
      <c r="F490" s="217" t="s">
        <v>14250</v>
      </c>
      <c r="G490" s="217" t="s">
        <v>14250</v>
      </c>
      <c r="H490" s="218">
        <f ca="1">IF(ISERROR($V490),"",OFFSET('Smelter Look-up'!$G$4,$V490-4,0))</f>
        <v>0</v>
      </c>
      <c r="I490" s="219">
        <f ca="1">IF(ISERROR($V490),"",OFFSET('Smelter Look-up'!$H$4,$V490-4,0))</f>
        <v>0</v>
      </c>
      <c r="J490" s="219">
        <f ca="1">IF(ISERROR($V490),"",OFFSET('Smelter Look-up'!$I$4,$V490-4,0))</f>
        <v>0</v>
      </c>
      <c r="K490" s="273"/>
      <c r="L490" s="273"/>
      <c r="M490" s="273"/>
      <c r="N490" s="273"/>
      <c r="O490" s="273"/>
      <c r="P490" s="220"/>
      <c r="Q490" s="274"/>
      <c r="R490" s="217" t="str">
        <f ca="1">IF(ISERROR($V490),"",OFFSET('Smelter Look-up'!$C$4,$V490-4,0)&amp;"")</f>
        <v/>
      </c>
      <c r="S490" s="225" t="str">
        <f t="shared" ca="1" si="69"/>
        <v>CN</v>
      </c>
      <c r="T490" s="225" t="str">
        <f ca="1">IF(B490="","",IF(ISERROR(MATCH($J490,SorP!$B$1:$B$6230,0)),"",INDIRECT("'SorP'!$A$"&amp;MATCH($J490,SorP!$B$1:$B$6230,0))))</f>
        <v/>
      </c>
      <c r="U490" s="241"/>
      <c r="V490" s="275">
        <f>IF(C490="",NA(),MATCH($B490&amp;$C490,'Smelter Look-up'!$J:$J,0))</f>
        <v>293</v>
      </c>
      <c r="W490" s="276"/>
      <c r="X490" s="276">
        <f t="shared" si="70"/>
        <v>0</v>
      </c>
      <c r="Y490" s="276"/>
      <c r="Z490" s="276"/>
      <c r="AB490" s="278" t="str">
        <f t="shared" si="71"/>
        <v>GoldSmelter not listed</v>
      </c>
    </row>
    <row r="491" spans="1:28" s="277" customFormat="1" ht="67.5">
      <c r="A491" s="216"/>
      <c r="B491" s="217" t="s">
        <v>1156</v>
      </c>
      <c r="C491" s="221" t="s">
        <v>159</v>
      </c>
      <c r="D491" s="283" t="s">
        <v>159</v>
      </c>
      <c r="E491" s="217" t="s">
        <v>1123</v>
      </c>
      <c r="F491" s="217" t="s">
        <v>148</v>
      </c>
      <c r="G491" s="217" t="s">
        <v>15513</v>
      </c>
      <c r="H491" s="218">
        <f ca="1">IF(ISERROR($V491),"",OFFSET('Smelter Look-up'!$G$4,$V491-4,0))</f>
        <v>0</v>
      </c>
      <c r="I491" s="219" t="str">
        <f ca="1">IF(ISERROR($V491),"",OFFSET('Smelter Look-up'!$H$4,$V491-4,0))</f>
        <v>Xiamen</v>
      </c>
      <c r="J491" s="219" t="str">
        <f ca="1">IF(ISERROR($V491),"",OFFSET('Smelter Look-up'!$I$4,$V491-4,0))</f>
        <v>Fujian Sheng</v>
      </c>
      <c r="K491" s="273"/>
      <c r="L491" s="273"/>
      <c r="M491" s="273"/>
      <c r="N491" s="273"/>
      <c r="O491" s="273"/>
      <c r="P491" s="220"/>
      <c r="Q491" s="274"/>
      <c r="R491" s="217" t="str">
        <f ca="1">IF(ISERROR($V491),"",OFFSET('Smelter Look-up'!$C$4,$V491-4,0)&amp;"")</f>
        <v>Xiamen Tungsten (H.C.) Co., Ltd.</v>
      </c>
      <c r="S491" s="225" t="str">
        <f t="shared" ca="1" si="69"/>
        <v>CN</v>
      </c>
      <c r="T491" s="225" t="str">
        <f ca="1">IF(B491="","",IF(ISERROR(MATCH($J491,SorP!$B$1:$B$6230,0)),"",INDIRECT("'SorP'!$A$"&amp;MATCH($J491,SorP!$B$1:$B$6230,0))))</f>
        <v>CN-FJ</v>
      </c>
      <c r="U491" s="241"/>
      <c r="V491" s="275">
        <f>IF(C491="",NA(),MATCH($B491&amp;$C491,'Smelter Look-up'!$J:$J,0))</f>
        <v>557</v>
      </c>
      <c r="W491" s="276"/>
      <c r="X491" s="276">
        <f t="shared" si="70"/>
        <v>0</v>
      </c>
      <c r="Y491" s="276"/>
      <c r="Z491" s="276"/>
      <c r="AB491" s="278" t="str">
        <f t="shared" si="71"/>
        <v>TungstenXiamen Tungsten (H.C.) Co., Ltd.</v>
      </c>
    </row>
    <row r="492" spans="1:28" s="277" customFormat="1" ht="67.5">
      <c r="A492" s="216"/>
      <c r="B492" s="217" t="s">
        <v>1156</v>
      </c>
      <c r="C492" s="221" t="s">
        <v>1406</v>
      </c>
      <c r="D492" s="283" t="s">
        <v>1406</v>
      </c>
      <c r="E492" s="217" t="s">
        <v>1123</v>
      </c>
      <c r="F492" s="217" t="s">
        <v>823</v>
      </c>
      <c r="G492" s="217" t="s">
        <v>15513</v>
      </c>
      <c r="H492" s="218">
        <f ca="1">IF(ISERROR($V492),"",OFFSET('Smelter Look-up'!$G$4,$V492-4,0))</f>
        <v>0</v>
      </c>
      <c r="I492" s="219" t="str">
        <f ca="1">IF(ISERROR($V492),"",OFFSET('Smelter Look-up'!$H$4,$V492-4,0))</f>
        <v>Xiamen</v>
      </c>
      <c r="J492" s="219" t="str">
        <f ca="1">IF(ISERROR($V492),"",OFFSET('Smelter Look-up'!$I$4,$V492-4,0))</f>
        <v>Fujian Sheng</v>
      </c>
      <c r="K492" s="273"/>
      <c r="L492" s="273"/>
      <c r="M492" s="273"/>
      <c r="N492" s="273"/>
      <c r="O492" s="273"/>
      <c r="P492" s="220"/>
      <c r="Q492" s="274"/>
      <c r="R492" s="217" t="str">
        <f ca="1">IF(ISERROR($V492),"",OFFSET('Smelter Look-up'!$C$4,$V492-4,0)&amp;"")</f>
        <v>Xiamen Tungsten Co., Ltd.</v>
      </c>
      <c r="S492" s="225" t="str">
        <f t="shared" ca="1" si="69"/>
        <v>CN</v>
      </c>
      <c r="T492" s="225" t="str">
        <f ca="1">IF(B492="","",IF(ISERROR(MATCH($J492,SorP!$B$1:$B$6230,0)),"",INDIRECT("'SorP'!$A$"&amp;MATCH($J492,SorP!$B$1:$B$6230,0))))</f>
        <v>CN-FJ</v>
      </c>
      <c r="U492" s="241"/>
      <c r="V492" s="275">
        <f>IF(C492="",NA(),MATCH($B492&amp;$C492,'Smelter Look-up'!$J:$J,0))</f>
        <v>558</v>
      </c>
      <c r="W492" s="276"/>
      <c r="X492" s="276">
        <f t="shared" si="70"/>
        <v>0</v>
      </c>
      <c r="Y492" s="276"/>
      <c r="Z492" s="276"/>
      <c r="AB492" s="278" t="str">
        <f t="shared" si="71"/>
        <v>TungstenXiamen Tungsten Co., Ltd.</v>
      </c>
    </row>
    <row r="493" spans="1:28" s="277" customFormat="1" ht="40.5">
      <c r="A493" s="216"/>
      <c r="B493" s="217" t="s">
        <v>1154</v>
      </c>
      <c r="C493" s="221" t="s">
        <v>1898</v>
      </c>
      <c r="D493" s="283" t="s">
        <v>15829</v>
      </c>
      <c r="E493" s="217" t="s">
        <v>1123</v>
      </c>
      <c r="F493" s="217" t="s">
        <v>14250</v>
      </c>
      <c r="G493" s="217" t="s">
        <v>14250</v>
      </c>
      <c r="H493" s="218">
        <f ca="1">IF(ISERROR($V493),"",OFFSET('Smelter Look-up'!$G$4,$V493-4,0))</f>
        <v>0</v>
      </c>
      <c r="I493" s="219">
        <f ca="1">IF(ISERROR($V493),"",OFFSET('Smelter Look-up'!$H$4,$V493-4,0))</f>
        <v>0</v>
      </c>
      <c r="J493" s="219">
        <f ca="1">IF(ISERROR($V493),"",OFFSET('Smelter Look-up'!$I$4,$V493-4,0))</f>
        <v>0</v>
      </c>
      <c r="K493" s="273"/>
      <c r="L493" s="273"/>
      <c r="M493" s="273"/>
      <c r="N493" s="273"/>
      <c r="O493" s="273"/>
      <c r="P493" s="220"/>
      <c r="Q493" s="274"/>
      <c r="R493" s="217" t="str">
        <f ca="1">IF(ISERROR($V493),"",OFFSET('Smelter Look-up'!$C$4,$V493-4,0)&amp;"")</f>
        <v/>
      </c>
      <c r="S493" s="225" t="str">
        <f t="shared" ca="1" si="69"/>
        <v>CN</v>
      </c>
      <c r="T493" s="225" t="str">
        <f ca="1">IF(B493="","",IF(ISERROR(MATCH($J493,SorP!$B$1:$B$6230,0)),"",INDIRECT("'SorP'!$A$"&amp;MATCH($J493,SorP!$B$1:$B$6230,0))))</f>
        <v/>
      </c>
      <c r="U493" s="241"/>
      <c r="V493" s="275">
        <f>IF(C493="",NA(),MATCH($B493&amp;$C493,'Smelter Look-up'!$J:$J,0))</f>
        <v>484</v>
      </c>
      <c r="W493" s="276"/>
      <c r="X493" s="276">
        <f t="shared" si="70"/>
        <v>0</v>
      </c>
      <c r="Y493" s="276"/>
      <c r="Z493" s="276"/>
      <c r="AB493" s="278" t="str">
        <f t="shared" si="71"/>
        <v>TinSmelter not listed</v>
      </c>
    </row>
    <row r="494" spans="1:28" s="277" customFormat="1" ht="40.5">
      <c r="A494" s="216"/>
      <c r="B494" s="217" t="s">
        <v>1154</v>
      </c>
      <c r="C494" s="221" t="s">
        <v>1898</v>
      </c>
      <c r="D494" s="283" t="s">
        <v>15830</v>
      </c>
      <c r="E494" s="217" t="s">
        <v>1123</v>
      </c>
      <c r="F494" s="217" t="s">
        <v>14250</v>
      </c>
      <c r="G494" s="217" t="s">
        <v>14250</v>
      </c>
      <c r="H494" s="218">
        <f ca="1">IF(ISERROR($V494),"",OFFSET('Smelter Look-up'!$G$4,$V494-4,0))</f>
        <v>0</v>
      </c>
      <c r="I494" s="219">
        <f ca="1">IF(ISERROR($V494),"",OFFSET('Smelter Look-up'!$H$4,$V494-4,0))</f>
        <v>0</v>
      </c>
      <c r="J494" s="219">
        <f ca="1">IF(ISERROR($V494),"",OFFSET('Smelter Look-up'!$I$4,$V494-4,0))</f>
        <v>0</v>
      </c>
      <c r="K494" s="273"/>
      <c r="L494" s="273"/>
      <c r="M494" s="273"/>
      <c r="N494" s="273"/>
      <c r="O494" s="273"/>
      <c r="P494" s="220"/>
      <c r="Q494" s="274"/>
      <c r="R494" s="217" t="str">
        <f ca="1">IF(ISERROR($V494),"",OFFSET('Smelter Look-up'!$C$4,$V494-4,0)&amp;"")</f>
        <v/>
      </c>
      <c r="S494" s="225" t="str">
        <f t="shared" ca="1" si="69"/>
        <v>CN</v>
      </c>
      <c r="T494" s="225" t="str">
        <f ca="1">IF(B494="","",IF(ISERROR(MATCH($J494,SorP!$B$1:$B$6230,0)),"",INDIRECT("'SorP'!$A$"&amp;MATCH($J494,SorP!$B$1:$B$6230,0))))</f>
        <v/>
      </c>
      <c r="U494" s="241"/>
      <c r="V494" s="275">
        <f>IF(C494="",NA(),MATCH($B494&amp;$C494,'Smelter Look-up'!$J:$J,0))</f>
        <v>484</v>
      </c>
      <c r="W494" s="276"/>
      <c r="X494" s="276">
        <f t="shared" si="70"/>
        <v>0</v>
      </c>
      <c r="Y494" s="276"/>
      <c r="Z494" s="276"/>
      <c r="AB494" s="278" t="str">
        <f t="shared" si="71"/>
        <v>TinSmelter not listed</v>
      </c>
    </row>
    <row r="495" spans="1:28" s="277" customFormat="1" ht="135">
      <c r="A495" s="216"/>
      <c r="B495" s="217" t="s">
        <v>1156</v>
      </c>
      <c r="C495" s="221" t="s">
        <v>2397</v>
      </c>
      <c r="D495" s="283" t="s">
        <v>2397</v>
      </c>
      <c r="E495" s="217" t="s">
        <v>1123</v>
      </c>
      <c r="F495" s="217" t="s">
        <v>2398</v>
      </c>
      <c r="G495" s="217" t="s">
        <v>15513</v>
      </c>
      <c r="H495" s="218">
        <f ca="1">IF(ISERROR($V495),"",OFFSET('Smelter Look-up'!$G$4,$V495-4,0))</f>
        <v>0</v>
      </c>
      <c r="I495" s="219" t="str">
        <f ca="1">IF(ISERROR($V495),"",OFFSET('Smelter Look-up'!$H$4,$V495-4,0))</f>
        <v>Ganzhou</v>
      </c>
      <c r="J495" s="219" t="str">
        <f ca="1">IF(ISERROR($V495),"",OFFSET('Smelter Look-up'!$I$4,$V495-4,0))</f>
        <v>Jiangxi Sheng</v>
      </c>
      <c r="K495" s="273"/>
      <c r="L495" s="273"/>
      <c r="M495" s="273"/>
      <c r="N495" s="273"/>
      <c r="O495" s="273"/>
      <c r="P495" s="220"/>
      <c r="Q495" s="274"/>
      <c r="R495" s="217" t="str">
        <f ca="1">IF(ISERROR($V495),"",OFFSET('Smelter Look-up'!$C$4,$V495-4,0)&amp;"")</f>
        <v>Xinfeng Huarui Tungsten &amp; Molybdenum New Material Co., Ltd.</v>
      </c>
      <c r="S495" s="225" t="str">
        <f t="shared" ca="1" si="69"/>
        <v>CN</v>
      </c>
      <c r="T495" s="225" t="str">
        <f ca="1">IF(B495="","",IF(ISERROR(MATCH($J495,SorP!$B$1:$B$6230,0)),"",INDIRECT("'SorP'!$A$"&amp;MATCH($J495,SorP!$B$1:$B$6230,0))))</f>
        <v>CN-JX</v>
      </c>
      <c r="U495" s="241"/>
      <c r="V495" s="275">
        <f>IF(C495="",NA(),MATCH($B495&amp;$C495,'Smelter Look-up'!$J:$J,0))</f>
        <v>559</v>
      </c>
      <c r="W495" s="276"/>
      <c r="X495" s="276">
        <f t="shared" si="70"/>
        <v>0</v>
      </c>
      <c r="Y495" s="276"/>
      <c r="Z495" s="276"/>
      <c r="AB495" s="278" t="str">
        <f t="shared" si="71"/>
        <v>TungstenXinfeng Huarui Tungsten &amp; Molybdenum New Material Co., Ltd.</v>
      </c>
    </row>
    <row r="496" spans="1:28" s="277" customFormat="1" ht="108">
      <c r="A496" s="216"/>
      <c r="B496" s="217" t="s">
        <v>1156</v>
      </c>
      <c r="C496" s="221" t="s">
        <v>839</v>
      </c>
      <c r="D496" s="283" t="s">
        <v>839</v>
      </c>
      <c r="E496" s="217" t="s">
        <v>1123</v>
      </c>
      <c r="F496" s="217" t="s">
        <v>825</v>
      </c>
      <c r="G496" s="217" t="s">
        <v>13577</v>
      </c>
      <c r="H496" s="218">
        <f ca="1">IF(ISERROR($V496),"",OFFSET('Smelter Look-up'!$G$4,$V496-4,0))</f>
        <v>0</v>
      </c>
      <c r="I496" s="219" t="str">
        <f ca="1">IF(ISERROR($V496),"",OFFSET('Smelter Look-up'!$H$4,$V496-4,0))</f>
        <v>Shaoguan</v>
      </c>
      <c r="J496" s="219" t="str">
        <f ca="1">IF(ISERROR($V496),"",OFFSET('Smelter Look-up'!$I$4,$V496-4,0))</f>
        <v>Guangdong Sheng</v>
      </c>
      <c r="K496" s="273"/>
      <c r="L496" s="273"/>
      <c r="M496" s="273"/>
      <c r="N496" s="273"/>
      <c r="O496" s="273"/>
      <c r="P496" s="220"/>
      <c r="Q496" s="274"/>
      <c r="R496" s="217" t="str">
        <f ca="1">IF(ISERROR($V496),"",OFFSET('Smelter Look-up'!$C$4,$V496-4,0)&amp;"")</f>
        <v>Xinhai Rendan Shaoguan Tungsten Co., Ltd.</v>
      </c>
      <c r="S496" s="225" t="str">
        <f t="shared" ca="1" si="69"/>
        <v>CN</v>
      </c>
      <c r="T496" s="225" t="str">
        <f ca="1">IF(B496="","",IF(ISERROR(MATCH($J496,SorP!$B$1:$B$6230,0)),"",INDIRECT("'SorP'!$A$"&amp;MATCH($J496,SorP!$B$1:$B$6230,0))))</f>
        <v>CN-GD</v>
      </c>
      <c r="U496" s="241"/>
      <c r="V496" s="275">
        <f>IF(C496="",NA(),MATCH($B496&amp;$C496,'Smelter Look-up'!$J:$J,0))</f>
        <v>560</v>
      </c>
      <c r="W496" s="276"/>
      <c r="X496" s="276">
        <f t="shared" si="70"/>
        <v>0</v>
      </c>
      <c r="Y496" s="276"/>
      <c r="Z496" s="276"/>
      <c r="AB496" s="278" t="str">
        <f t="shared" si="71"/>
        <v>TungstenXinhai Rendan Shaoguan Tungsten Co., Ltd.</v>
      </c>
    </row>
    <row r="497" spans="1:28" s="277" customFormat="1" ht="108">
      <c r="A497" s="216"/>
      <c r="B497" s="217" t="s">
        <v>1155</v>
      </c>
      <c r="C497" s="221" t="s">
        <v>2277</v>
      </c>
      <c r="D497" s="283" t="s">
        <v>2277</v>
      </c>
      <c r="E497" s="217" t="s">
        <v>1123</v>
      </c>
      <c r="F497" s="217" t="s">
        <v>1423</v>
      </c>
      <c r="G497" s="217" t="s">
        <v>15513</v>
      </c>
      <c r="H497" s="218">
        <f ca="1">IF(ISERROR($V497),"",OFFSET('Smelter Look-up'!$G$4,$V497-4,0))</f>
        <v>0</v>
      </c>
      <c r="I497" s="219" t="str">
        <f ca="1">IF(ISERROR($V497),"",OFFSET('Smelter Look-up'!$H$4,$V497-4,0))</f>
        <v>YunFu City</v>
      </c>
      <c r="J497" s="219" t="str">
        <f ca="1">IF(ISERROR($V497),"",OFFSET('Smelter Look-up'!$I$4,$V497-4,0))</f>
        <v>Guangdong Sheng</v>
      </c>
      <c r="K497" s="273"/>
      <c r="L497" s="273"/>
      <c r="M497" s="273"/>
      <c r="N497" s="273"/>
      <c r="O497" s="273"/>
      <c r="P497" s="220"/>
      <c r="Q497" s="274"/>
      <c r="R497" s="217" t="str">
        <f ca="1">IF(ISERROR($V497),"",OFFSET('Smelter Look-up'!$C$4,$V497-4,0)&amp;"")</f>
        <v>XinXing HaoRong Electronic Material Co., Ltd.</v>
      </c>
      <c r="S497" s="225" t="str">
        <f t="shared" ca="1" si="69"/>
        <v>CN</v>
      </c>
      <c r="T497" s="225" t="str">
        <f ca="1">IF(B497="","",IF(ISERROR(MATCH($J497,SorP!$B$1:$B$6230,0)),"",INDIRECT("'SorP'!$A$"&amp;MATCH($J497,SorP!$B$1:$B$6230,0))))</f>
        <v>CN-GD</v>
      </c>
      <c r="U497" s="241"/>
      <c r="V497" s="275">
        <f>IF(C497="",NA(),MATCH($B497&amp;$C497,'Smelter Look-up'!$J:$J,0))</f>
        <v>350</v>
      </c>
      <c r="W497" s="276"/>
      <c r="X497" s="276">
        <f t="shared" si="70"/>
        <v>0</v>
      </c>
      <c r="Y497" s="276"/>
      <c r="Z497" s="276"/>
      <c r="AB497" s="278" t="str">
        <f t="shared" si="71"/>
        <v>TantalumXinXing HaoRong Electronic Material Co., Ltd.</v>
      </c>
    </row>
    <row r="498" spans="1:28" s="277" customFormat="1" ht="40.5">
      <c r="A498" s="216"/>
      <c r="B498" s="217" t="s">
        <v>1154</v>
      </c>
      <c r="C498" s="221" t="s">
        <v>1898</v>
      </c>
      <c r="D498" s="283" t="s">
        <v>15831</v>
      </c>
      <c r="E498" s="217" t="s">
        <v>1123</v>
      </c>
      <c r="F498" s="217" t="s">
        <v>14250</v>
      </c>
      <c r="G498" s="217" t="s">
        <v>14250</v>
      </c>
      <c r="H498" s="218">
        <f ca="1">IF(ISERROR($V498),"",OFFSET('Smelter Look-up'!$G$4,$V498-4,0))</f>
        <v>0</v>
      </c>
      <c r="I498" s="219">
        <f ca="1">IF(ISERROR($V498),"",OFFSET('Smelter Look-up'!$H$4,$V498-4,0))</f>
        <v>0</v>
      </c>
      <c r="J498" s="219">
        <f ca="1">IF(ISERROR($V498),"",OFFSET('Smelter Look-up'!$I$4,$V498-4,0))</f>
        <v>0</v>
      </c>
      <c r="K498" s="273"/>
      <c r="L498" s="273"/>
      <c r="M498" s="273"/>
      <c r="N498" s="273"/>
      <c r="O498" s="273"/>
      <c r="P498" s="220"/>
      <c r="Q498" s="274"/>
      <c r="R498" s="217" t="str">
        <f ca="1">IF(ISERROR($V498),"",OFFSET('Smelter Look-up'!$C$4,$V498-4,0)&amp;"")</f>
        <v/>
      </c>
      <c r="S498" s="225" t="str">
        <f t="shared" ca="1" si="69"/>
        <v>CN</v>
      </c>
      <c r="T498" s="225" t="str">
        <f ca="1">IF(B498="","",IF(ISERROR(MATCH($J498,SorP!$B$1:$B$6230,0)),"",INDIRECT("'SorP'!$A$"&amp;MATCH($J498,SorP!$B$1:$B$6230,0))))</f>
        <v/>
      </c>
      <c r="U498" s="241"/>
      <c r="V498" s="275">
        <f>IF(C498="",NA(),MATCH($B498&amp;$C498,'Smelter Look-up'!$J:$J,0))</f>
        <v>484</v>
      </c>
      <c r="W498" s="276"/>
      <c r="X498" s="276">
        <f t="shared" si="70"/>
        <v>0</v>
      </c>
      <c r="Y498" s="276"/>
      <c r="Z498" s="276"/>
      <c r="AB498" s="278" t="str">
        <f t="shared" si="71"/>
        <v>TinSmelter not listed</v>
      </c>
    </row>
    <row r="499" spans="1:28" s="277" customFormat="1" ht="40.5">
      <c r="A499" s="216"/>
      <c r="B499" s="217" t="s">
        <v>1153</v>
      </c>
      <c r="C499" s="221" t="s">
        <v>13261</v>
      </c>
      <c r="D499" s="283" t="s">
        <v>15832</v>
      </c>
      <c r="E499" s="217" t="s">
        <v>1131</v>
      </c>
      <c r="F499" s="217" t="s">
        <v>759</v>
      </c>
      <c r="G499" s="217" t="s">
        <v>15513</v>
      </c>
      <c r="H499" s="218">
        <f ca="1">IF(ISERROR($V499),"",OFFSET('Smelter Look-up'!$G$4,$V499-4,0))</f>
        <v>0</v>
      </c>
      <c r="I499" s="219" t="str">
        <f ca="1">IF(ISERROR($V499),"",OFFSET('Smelter Look-up'!$H$4,$V499-4,0))</f>
        <v>Konan</v>
      </c>
      <c r="J499" s="219" t="str">
        <f ca="1">IF(ISERROR($V499),"",OFFSET('Smelter Look-up'!$I$4,$V499-4,0))</f>
        <v>Kochi</v>
      </c>
      <c r="K499" s="273"/>
      <c r="L499" s="273"/>
      <c r="M499" s="273"/>
      <c r="N499" s="273"/>
      <c r="O499" s="273"/>
      <c r="P499" s="220"/>
      <c r="Q499" s="274"/>
      <c r="R499" s="217" t="str">
        <f ca="1">IF(ISERROR($V499),"",OFFSET('Smelter Look-up'!$C$4,$V499-4,0)&amp;"")</f>
        <v>Yamakin Co., Ltd.</v>
      </c>
      <c r="S499" s="225" t="str">
        <f t="shared" ca="1" si="69"/>
        <v>JP</v>
      </c>
      <c r="T499" s="225" t="str">
        <f ca="1">IF(B499="","",IF(ISERROR(MATCH($J499,SorP!$B$1:$B$6230,0)),"",INDIRECT("'SorP'!$A$"&amp;MATCH($J499,SorP!$B$1:$B$6230,0))))</f>
        <v>JP-39</v>
      </c>
      <c r="U499" s="241"/>
      <c r="V499" s="275">
        <f>IF(C499="",NA(),MATCH($B499&amp;$C499,'Smelter Look-up'!$J:$J,0))</f>
        <v>275</v>
      </c>
      <c r="W499" s="276"/>
      <c r="X499" s="276">
        <f t="shared" si="70"/>
        <v>0</v>
      </c>
      <c r="Y499" s="276"/>
      <c r="Z499" s="276"/>
      <c r="AB499" s="278" t="str">
        <f t="shared" si="71"/>
        <v>GoldYamakin Co., Ltd.</v>
      </c>
    </row>
    <row r="500" spans="1:28" s="277" customFormat="1" ht="40.5">
      <c r="A500" s="216"/>
      <c r="B500" s="217" t="s">
        <v>1153</v>
      </c>
      <c r="C500" s="221" t="s">
        <v>1898</v>
      </c>
      <c r="D500" s="283" t="s">
        <v>15833</v>
      </c>
      <c r="E500" s="217" t="s">
        <v>1131</v>
      </c>
      <c r="F500" s="217" t="s">
        <v>14250</v>
      </c>
      <c r="G500" s="217" t="s">
        <v>14250</v>
      </c>
      <c r="H500" s="218">
        <f ca="1">IF(ISERROR($V500),"",OFFSET('Smelter Look-up'!$G$4,$V500-4,0))</f>
        <v>0</v>
      </c>
      <c r="I500" s="219">
        <f ca="1">IF(ISERROR($V500),"",OFFSET('Smelter Look-up'!$H$4,$V500-4,0))</f>
        <v>0</v>
      </c>
      <c r="J500" s="219">
        <f ca="1">IF(ISERROR($V500),"",OFFSET('Smelter Look-up'!$I$4,$V500-4,0))</f>
        <v>0</v>
      </c>
      <c r="K500" s="273"/>
      <c r="L500" s="273"/>
      <c r="M500" s="273"/>
      <c r="N500" s="273"/>
      <c r="O500" s="273"/>
      <c r="P500" s="220"/>
      <c r="Q500" s="274"/>
      <c r="R500" s="217" t="str">
        <f ca="1">IF(ISERROR($V500),"",OFFSET('Smelter Look-up'!$C$4,$V500-4,0)&amp;"")</f>
        <v/>
      </c>
      <c r="S500" s="225" t="str">
        <f t="shared" ca="1" si="69"/>
        <v>JP</v>
      </c>
      <c r="T500" s="225" t="str">
        <f ca="1">IF(B500="","",IF(ISERROR(MATCH($J500,SorP!$B$1:$B$6230,0)),"",INDIRECT("'SorP'!$A$"&amp;MATCH($J500,SorP!$B$1:$B$6230,0))))</f>
        <v/>
      </c>
      <c r="U500" s="241"/>
      <c r="V500" s="275">
        <f>IF(C500="",NA(),MATCH($B500&amp;$C500,'Smelter Look-up'!$J:$J,0))</f>
        <v>293</v>
      </c>
      <c r="W500" s="276"/>
      <c r="X500" s="276">
        <f t="shared" si="70"/>
        <v>0</v>
      </c>
      <c r="Y500" s="276"/>
      <c r="Z500" s="276"/>
      <c r="AB500" s="278" t="str">
        <f t="shared" si="71"/>
        <v>GoldSmelter not listed</v>
      </c>
    </row>
    <row r="501" spans="1:28" s="277" customFormat="1" ht="108">
      <c r="A501" s="216"/>
      <c r="B501" s="217" t="s">
        <v>1155</v>
      </c>
      <c r="C501" s="221" t="s">
        <v>13614</v>
      </c>
      <c r="D501" s="283" t="s">
        <v>13614</v>
      </c>
      <c r="E501" s="217" t="s">
        <v>1123</v>
      </c>
      <c r="F501" s="217" t="s">
        <v>14250</v>
      </c>
      <c r="G501" s="217" t="s">
        <v>14250</v>
      </c>
      <c r="H501" s="218">
        <f ca="1">IF(ISERROR($V501),"",OFFSET('Smelter Look-up'!$G$4,$V501-4,0))</f>
        <v>0</v>
      </c>
      <c r="I501" s="219" t="str">
        <f ca="1">IF(ISERROR($V501),"",OFFSET('Smelter Look-up'!$H$4,$V501-4,0))</f>
        <v>Zhuzhou</v>
      </c>
      <c r="J501" s="219" t="str">
        <f ca="1">IF(ISERROR($V501),"",OFFSET('Smelter Look-up'!$I$4,$V501-4,0))</f>
        <v>Hunan Sheng</v>
      </c>
      <c r="K501" s="273"/>
      <c r="L501" s="273"/>
      <c r="M501" s="273"/>
      <c r="N501" s="273"/>
      <c r="O501" s="273"/>
      <c r="P501" s="220"/>
      <c r="Q501" s="274"/>
      <c r="R501" s="217" t="str">
        <f ca="1">IF(ISERROR($V501),"",OFFSET('Smelter Look-up'!$C$4,$V501-4,0)&amp;"")</f>
        <v>Yanling Jincheng Tantalum &amp; Niobium Co., Ltd.</v>
      </c>
      <c r="S501" s="225" t="str">
        <f t="shared" ca="1" si="69"/>
        <v>CN</v>
      </c>
      <c r="T501" s="225" t="str">
        <f ca="1">IF(B501="","",IF(ISERROR(MATCH($J501,SorP!$B$1:$B$6230,0)),"",INDIRECT("'SorP'!$A$"&amp;MATCH($J501,SorP!$B$1:$B$6230,0))))</f>
        <v>CN-HN</v>
      </c>
      <c r="U501" s="241"/>
      <c r="V501" s="275">
        <f>IF(C501="",NA(),MATCH($B501&amp;$C501,'Smelter Look-up'!$J:$J,0))</f>
        <v>351</v>
      </c>
      <c r="W501" s="276"/>
      <c r="X501" s="276">
        <f t="shared" si="70"/>
        <v>0</v>
      </c>
      <c r="Y501" s="276"/>
      <c r="Z501" s="276"/>
      <c r="AB501" s="278" t="str">
        <f t="shared" si="71"/>
        <v>TantalumYanling Jincheng Tantalum &amp; Niobium Co., Ltd.</v>
      </c>
    </row>
    <row r="502" spans="1:28" s="277" customFormat="1" ht="54">
      <c r="A502" s="216"/>
      <c r="B502" s="217" t="s">
        <v>1155</v>
      </c>
      <c r="C502" s="221" t="s">
        <v>1898</v>
      </c>
      <c r="D502" s="283" t="s">
        <v>15834</v>
      </c>
      <c r="E502" s="217" t="s">
        <v>1123</v>
      </c>
      <c r="F502" s="217" t="s">
        <v>15835</v>
      </c>
      <c r="G502" s="217" t="s">
        <v>15513</v>
      </c>
      <c r="H502" s="218">
        <f ca="1">IF(ISERROR($V502),"",OFFSET('Smelter Look-up'!$G$4,$V502-4,0))</f>
        <v>0</v>
      </c>
      <c r="I502" s="219">
        <f ca="1">IF(ISERROR($V502),"",OFFSET('Smelter Look-up'!$H$4,$V502-4,0))</f>
        <v>0</v>
      </c>
      <c r="J502" s="219">
        <f ca="1">IF(ISERROR($V502),"",OFFSET('Smelter Look-up'!$I$4,$V502-4,0))</f>
        <v>0</v>
      </c>
      <c r="K502" s="273"/>
      <c r="L502" s="273"/>
      <c r="M502" s="273"/>
      <c r="N502" s="273"/>
      <c r="O502" s="273"/>
      <c r="P502" s="220"/>
      <c r="Q502" s="274"/>
      <c r="R502" s="217" t="str">
        <f ca="1">IF(ISERROR($V502),"",OFFSET('Smelter Look-up'!$C$4,$V502-4,0)&amp;"")</f>
        <v/>
      </c>
      <c r="S502" s="225" t="str">
        <f t="shared" ca="1" si="69"/>
        <v>CN</v>
      </c>
      <c r="T502" s="225" t="str">
        <f ca="1">IF(B502="","",IF(ISERROR(MATCH($J502,SorP!$B$1:$B$6230,0)),"",INDIRECT("'SorP'!$A$"&amp;MATCH($J502,SorP!$B$1:$B$6230,0))))</f>
        <v/>
      </c>
      <c r="U502" s="241"/>
      <c r="V502" s="275">
        <f>IF(C502="",NA(),MATCH($B502&amp;$C502,'Smelter Look-up'!$J:$J,0))</f>
        <v>353</v>
      </c>
      <c r="W502" s="276"/>
      <c r="X502" s="276">
        <f t="shared" si="70"/>
        <v>0</v>
      </c>
      <c r="Y502" s="276"/>
      <c r="Z502" s="276"/>
      <c r="AB502" s="278" t="str">
        <f t="shared" si="71"/>
        <v>TantalumSmelter not listed</v>
      </c>
    </row>
    <row r="503" spans="1:28" s="277" customFormat="1" ht="40.5">
      <c r="A503" s="216"/>
      <c r="B503" s="217" t="s">
        <v>1154</v>
      </c>
      <c r="C503" s="221" t="s">
        <v>1898</v>
      </c>
      <c r="D503" s="283" t="s">
        <v>15836</v>
      </c>
      <c r="E503" s="217" t="s">
        <v>1123</v>
      </c>
      <c r="F503" s="217" t="s">
        <v>14250</v>
      </c>
      <c r="G503" s="217" t="s">
        <v>14250</v>
      </c>
      <c r="H503" s="218">
        <f ca="1">IF(ISERROR($V503),"",OFFSET('Smelter Look-up'!$G$4,$V503-4,0))</f>
        <v>0</v>
      </c>
      <c r="I503" s="219">
        <f ca="1">IF(ISERROR($V503),"",OFFSET('Smelter Look-up'!$H$4,$V503-4,0))</f>
        <v>0</v>
      </c>
      <c r="J503" s="219">
        <f ca="1">IF(ISERROR($V503),"",OFFSET('Smelter Look-up'!$I$4,$V503-4,0))</f>
        <v>0</v>
      </c>
      <c r="K503" s="273"/>
      <c r="L503" s="273"/>
      <c r="M503" s="273"/>
      <c r="N503" s="273"/>
      <c r="O503" s="273"/>
      <c r="P503" s="220"/>
      <c r="Q503" s="274"/>
      <c r="R503" s="217" t="str">
        <f ca="1">IF(ISERROR($V503),"",OFFSET('Smelter Look-up'!$C$4,$V503-4,0)&amp;"")</f>
        <v/>
      </c>
      <c r="S503" s="225" t="str">
        <f t="shared" ca="1" si="69"/>
        <v>CN</v>
      </c>
      <c r="T503" s="225" t="str">
        <f ca="1">IF(B503="","",IF(ISERROR(MATCH($J503,SorP!$B$1:$B$6230,0)),"",INDIRECT("'SorP'!$A$"&amp;MATCH($J503,SorP!$B$1:$B$6230,0))))</f>
        <v/>
      </c>
      <c r="U503" s="241"/>
      <c r="V503" s="275">
        <f>IF(C503="",NA(),MATCH($B503&amp;$C503,'Smelter Look-up'!$J:$J,0))</f>
        <v>484</v>
      </c>
      <c r="W503" s="276"/>
      <c r="X503" s="276">
        <f t="shared" si="70"/>
        <v>0</v>
      </c>
      <c r="Y503" s="276"/>
      <c r="Z503" s="276"/>
      <c r="AB503" s="278" t="str">
        <f t="shared" si="71"/>
        <v>TinSmelter not listed</v>
      </c>
    </row>
    <row r="504" spans="1:28" s="277" customFormat="1" ht="40.5">
      <c r="A504" s="216"/>
      <c r="B504" s="217" t="s">
        <v>1154</v>
      </c>
      <c r="C504" s="221" t="s">
        <v>1898</v>
      </c>
      <c r="D504" s="283" t="s">
        <v>15837</v>
      </c>
      <c r="E504" s="217" t="s">
        <v>1123</v>
      </c>
      <c r="F504" s="217" t="s">
        <v>14250</v>
      </c>
      <c r="G504" s="217" t="s">
        <v>14250</v>
      </c>
      <c r="H504" s="218">
        <f ca="1">IF(ISERROR($V504),"",OFFSET('Smelter Look-up'!$G$4,$V504-4,0))</f>
        <v>0</v>
      </c>
      <c r="I504" s="219">
        <f ca="1">IF(ISERROR($V504),"",OFFSET('Smelter Look-up'!$H$4,$V504-4,0))</f>
        <v>0</v>
      </c>
      <c r="J504" s="219">
        <f ca="1">IF(ISERROR($V504),"",OFFSET('Smelter Look-up'!$I$4,$V504-4,0))</f>
        <v>0</v>
      </c>
      <c r="K504" s="273"/>
      <c r="L504" s="273"/>
      <c r="M504" s="273"/>
      <c r="N504" s="273"/>
      <c r="O504" s="273"/>
      <c r="P504" s="220"/>
      <c r="Q504" s="274"/>
      <c r="R504" s="217" t="str">
        <f ca="1">IF(ISERROR($V504),"",OFFSET('Smelter Look-up'!$C$4,$V504-4,0)&amp;"")</f>
        <v/>
      </c>
      <c r="S504" s="225" t="str">
        <f t="shared" ca="1" si="69"/>
        <v>CN</v>
      </c>
      <c r="T504" s="225" t="str">
        <f ca="1">IF(B504="","",IF(ISERROR(MATCH($J504,SorP!$B$1:$B$6230,0)),"",INDIRECT("'SorP'!$A$"&amp;MATCH($J504,SorP!$B$1:$B$6230,0))))</f>
        <v/>
      </c>
      <c r="U504" s="241"/>
      <c r="V504" s="275">
        <f>IF(C504="",NA(),MATCH($B504&amp;$C504,'Smelter Look-up'!$J:$J,0))</f>
        <v>484</v>
      </c>
      <c r="W504" s="276"/>
      <c r="X504" s="276">
        <f t="shared" si="70"/>
        <v>0</v>
      </c>
      <c r="Y504" s="276"/>
      <c r="Z504" s="276"/>
      <c r="AB504" s="278" t="str">
        <f t="shared" si="71"/>
        <v>TinSmelter not listed</v>
      </c>
    </row>
    <row r="505" spans="1:28" s="277" customFormat="1" ht="54">
      <c r="A505" s="216"/>
      <c r="B505" s="217" t="s">
        <v>1153</v>
      </c>
      <c r="C505" s="221" t="s">
        <v>2272</v>
      </c>
      <c r="D505" s="283" t="s">
        <v>2272</v>
      </c>
      <c r="E505" s="217" t="s">
        <v>1131</v>
      </c>
      <c r="F505" s="217" t="s">
        <v>760</v>
      </c>
      <c r="G505" s="217" t="s">
        <v>15513</v>
      </c>
      <c r="H505" s="218">
        <f ca="1">IF(ISERROR($V505),"",OFFSET('Smelter Look-up'!$G$4,$V505-4,0))</f>
        <v>0</v>
      </c>
      <c r="I505" s="219" t="str">
        <f ca="1">IF(ISERROR($V505),"",OFFSET('Smelter Look-up'!$H$4,$V505-4,0))</f>
        <v>Sagamihara</v>
      </c>
      <c r="J505" s="219" t="str">
        <f ca="1">IF(ISERROR($V505),"",OFFSET('Smelter Look-up'!$I$4,$V505-4,0))</f>
        <v>Kanagawa</v>
      </c>
      <c r="K505" s="273"/>
      <c r="L505" s="273"/>
      <c r="M505" s="273"/>
      <c r="N505" s="273"/>
      <c r="O505" s="273"/>
      <c r="P505" s="220"/>
      <c r="Q505" s="274"/>
      <c r="R505" s="217" t="str">
        <f ca="1">IF(ISERROR($V505),"",OFFSET('Smelter Look-up'!$C$4,$V505-4,0)&amp;"")</f>
        <v>Yokohama Metal Co., Ltd.</v>
      </c>
      <c r="S505" s="225" t="str">
        <f t="shared" ca="1" si="69"/>
        <v>JP</v>
      </c>
      <c r="T505" s="225" t="str">
        <f ca="1">IF(B505="","",IF(ISERROR(MATCH($J505,SorP!$B$1:$B$6230,0)),"",INDIRECT("'SorP'!$A$"&amp;MATCH($J505,SorP!$B$1:$B$6230,0))))</f>
        <v>JP-14</v>
      </c>
      <c r="U505" s="241"/>
      <c r="V505" s="275">
        <f>IF(C505="",NA(),MATCH($B505&amp;$C505,'Smelter Look-up'!$J:$J,0))</f>
        <v>280</v>
      </c>
      <c r="W505" s="276"/>
      <c r="X505" s="276">
        <f t="shared" si="70"/>
        <v>0</v>
      </c>
      <c r="Y505" s="276"/>
      <c r="Z505" s="276"/>
      <c r="AB505" s="278" t="str">
        <f t="shared" si="71"/>
        <v>GoldYokohama Metal Co., Ltd.</v>
      </c>
    </row>
    <row r="506" spans="1:28" s="277" customFormat="1" ht="40.5">
      <c r="A506" s="216"/>
      <c r="B506" s="217" t="s">
        <v>1154</v>
      </c>
      <c r="C506" s="221" t="s">
        <v>1898</v>
      </c>
      <c r="D506" s="283" t="s">
        <v>15838</v>
      </c>
      <c r="E506" s="217" t="s">
        <v>1123</v>
      </c>
      <c r="F506" s="217" t="s">
        <v>14250</v>
      </c>
      <c r="G506" s="217" t="s">
        <v>14250</v>
      </c>
      <c r="H506" s="218">
        <f ca="1">IF(ISERROR($V506),"",OFFSET('Smelter Look-up'!$G$4,$V506-4,0))</f>
        <v>0</v>
      </c>
      <c r="I506" s="219">
        <f ca="1">IF(ISERROR($V506),"",OFFSET('Smelter Look-up'!$H$4,$V506-4,0))</f>
        <v>0</v>
      </c>
      <c r="J506" s="219">
        <f ca="1">IF(ISERROR($V506),"",OFFSET('Smelter Look-up'!$I$4,$V506-4,0))</f>
        <v>0</v>
      </c>
      <c r="K506" s="273"/>
      <c r="L506" s="273"/>
      <c r="M506" s="273"/>
      <c r="N506" s="273"/>
      <c r="O506" s="273"/>
      <c r="P506" s="220"/>
      <c r="Q506" s="274"/>
      <c r="R506" s="217" t="str">
        <f ca="1">IF(ISERROR($V506),"",OFFSET('Smelter Look-up'!$C$4,$V506-4,0)&amp;"")</f>
        <v/>
      </c>
      <c r="S506" s="225" t="str">
        <f t="shared" ca="1" si="69"/>
        <v>CN</v>
      </c>
      <c r="T506" s="225" t="str">
        <f ca="1">IF(B506="","",IF(ISERROR(MATCH($J506,SorP!$B$1:$B$6230,0)),"",INDIRECT("'SorP'!$A$"&amp;MATCH($J506,SorP!$B$1:$B$6230,0))))</f>
        <v/>
      </c>
      <c r="U506" s="241"/>
      <c r="V506" s="275">
        <f>IF(C506="",NA(),MATCH($B506&amp;$C506,'Smelter Look-up'!$J:$J,0))</f>
        <v>484</v>
      </c>
      <c r="W506" s="276"/>
      <c r="X506" s="276">
        <f t="shared" si="70"/>
        <v>0</v>
      </c>
      <c r="Y506" s="276"/>
      <c r="Z506" s="276"/>
      <c r="AB506" s="278" t="str">
        <f t="shared" si="71"/>
        <v>TinSmelter not listed</v>
      </c>
    </row>
    <row r="507" spans="1:28" s="277" customFormat="1" ht="40.5">
      <c r="A507" s="216"/>
      <c r="B507" s="217" t="s">
        <v>1154</v>
      </c>
      <c r="C507" s="221" t="s">
        <v>1898</v>
      </c>
      <c r="D507" s="283" t="s">
        <v>15839</v>
      </c>
      <c r="E507" s="217" t="s">
        <v>1123</v>
      </c>
      <c r="F507" s="217" t="s">
        <v>14250</v>
      </c>
      <c r="G507" s="217" t="s">
        <v>14250</v>
      </c>
      <c r="H507" s="218" t="s">
        <v>15840</v>
      </c>
      <c r="I507" s="219" t="s">
        <v>2590</v>
      </c>
      <c r="J507" s="219" t="s">
        <v>15841</v>
      </c>
      <c r="K507" s="273" t="s">
        <v>15842</v>
      </c>
      <c r="L507" s="273" t="s">
        <v>15843</v>
      </c>
      <c r="M507" s="273" t="s">
        <v>12942</v>
      </c>
      <c r="N507" s="273" t="s">
        <v>15844</v>
      </c>
      <c r="O507" s="273" t="s">
        <v>15607</v>
      </c>
      <c r="P507" s="220" t="s">
        <v>499</v>
      </c>
      <c r="Q507" s="274"/>
      <c r="R507" s="217" t="str">
        <f ca="1">IF(ISERROR($V507),"",OFFSET('Smelter Look-up'!$C$4,$V507-4,0)&amp;"")</f>
        <v/>
      </c>
      <c r="S507" s="225" t="str">
        <f t="shared" ca="1" si="69"/>
        <v>CN</v>
      </c>
      <c r="T507" s="225" t="str">
        <f ca="1">IF(B507="","",IF(ISERROR(MATCH($J507,SorP!$B$1:$B$6230,0)),"",INDIRECT("'SorP'!$A$"&amp;MATCH($J507,SorP!$B$1:$B$6230,0))))</f>
        <v/>
      </c>
      <c r="U507" s="241"/>
      <c r="V507" s="275">
        <f>IF(C507="",NA(),MATCH($B507&amp;$C507,'Smelter Look-up'!$J:$J,0))</f>
        <v>484</v>
      </c>
      <c r="W507" s="276"/>
      <c r="X507" s="276">
        <f t="shared" si="70"/>
        <v>0</v>
      </c>
      <c r="Y507" s="276"/>
      <c r="Z507" s="276"/>
      <c r="AB507" s="278" t="str">
        <f t="shared" si="71"/>
        <v>TinSmelter not listed</v>
      </c>
    </row>
    <row r="508" spans="1:28" s="277" customFormat="1" ht="94.5">
      <c r="A508" s="216"/>
      <c r="B508" s="217" t="s">
        <v>1154</v>
      </c>
      <c r="C508" s="221" t="s">
        <v>2273</v>
      </c>
      <c r="D508" s="283" t="s">
        <v>2273</v>
      </c>
      <c r="E508" s="217" t="s">
        <v>1123</v>
      </c>
      <c r="F508" s="217" t="s">
        <v>808</v>
      </c>
      <c r="G508" s="217" t="s">
        <v>15513</v>
      </c>
      <c r="H508" s="218">
        <f ca="1">IF(ISERROR($V508),"",OFFSET('Smelter Look-up'!$G$4,$V508-4,0))</f>
        <v>0</v>
      </c>
      <c r="I508" s="219" t="str">
        <f ca="1">IF(ISERROR($V508),"",OFFSET('Smelter Look-up'!$H$4,$V508-4,0))</f>
        <v>Gejiu</v>
      </c>
      <c r="J508" s="219" t="str">
        <f ca="1">IF(ISERROR($V508),"",OFFSET('Smelter Look-up'!$I$4,$V508-4,0))</f>
        <v>Yunnan Sheng</v>
      </c>
      <c r="K508" s="273"/>
      <c r="L508" s="273"/>
      <c r="M508" s="273"/>
      <c r="N508" s="273"/>
      <c r="O508" s="273"/>
      <c r="P508" s="220"/>
      <c r="Q508" s="274"/>
      <c r="R508" s="217" t="str">
        <f ca="1">IF(ISERROR($V508),"",OFFSET('Smelter Look-up'!$C$4,$V508-4,0)&amp;"")</f>
        <v>Yunnan Chengfeng Non-ferrous Metals Co., Ltd.</v>
      </c>
      <c r="S508" s="225" t="str">
        <f t="shared" ca="1" si="69"/>
        <v>CN</v>
      </c>
      <c r="T508" s="225" t="str">
        <f ca="1">IF(B508="","",IF(ISERROR(MATCH($J508,SorP!$B$1:$B$6230,0)),"",INDIRECT("'SorP'!$A$"&amp;MATCH($J508,SorP!$B$1:$B$6230,0))))</f>
        <v>CN-YN</v>
      </c>
      <c r="U508" s="241"/>
      <c r="V508" s="275">
        <f>IF(C508="",NA(),MATCH($B508&amp;$C508,'Smelter Look-up'!$J:$J,0))</f>
        <v>473</v>
      </c>
      <c r="W508" s="276"/>
      <c r="X508" s="276">
        <f t="shared" si="70"/>
        <v>0</v>
      </c>
      <c r="Y508" s="276"/>
      <c r="Z508" s="276"/>
      <c r="AB508" s="278" t="str">
        <f t="shared" si="71"/>
        <v>TinYunnan Chengfeng Non-ferrous Metals Co., Ltd.</v>
      </c>
    </row>
    <row r="509" spans="1:28" s="277" customFormat="1" ht="40.5">
      <c r="A509" s="216"/>
      <c r="B509" s="217" t="s">
        <v>1154</v>
      </c>
      <c r="C509" s="221" t="s">
        <v>1898</v>
      </c>
      <c r="D509" s="283" t="s">
        <v>15845</v>
      </c>
      <c r="E509" s="217" t="s">
        <v>1123</v>
      </c>
      <c r="F509" s="217" t="s">
        <v>14250</v>
      </c>
      <c r="G509" s="217" t="s">
        <v>14250</v>
      </c>
      <c r="H509" s="218" t="s">
        <v>15514</v>
      </c>
      <c r="I509" s="219" t="s">
        <v>15846</v>
      </c>
      <c r="J509" s="219" t="s">
        <v>15841</v>
      </c>
      <c r="K509" s="273"/>
      <c r="L509" s="273"/>
      <c r="M509" s="273"/>
      <c r="N509" s="273"/>
      <c r="O509" s="273"/>
      <c r="P509" s="220"/>
      <c r="Q509" s="274"/>
      <c r="R509" s="217" t="str">
        <f ca="1">IF(ISERROR($V509),"",OFFSET('Smelter Look-up'!$C$4,$V509-4,0)&amp;"")</f>
        <v/>
      </c>
      <c r="S509" s="225" t="str">
        <f t="shared" ca="1" si="69"/>
        <v>CN</v>
      </c>
      <c r="T509" s="225" t="str">
        <f ca="1">IF(B509="","",IF(ISERROR(MATCH($J509,SorP!$B$1:$B$6230,0)),"",INDIRECT("'SorP'!$A$"&amp;MATCH($J509,SorP!$B$1:$B$6230,0))))</f>
        <v/>
      </c>
      <c r="U509" s="241"/>
      <c r="V509" s="275">
        <f>IF(C509="",NA(),MATCH($B509&amp;$C509,'Smelter Look-up'!$J:$J,0))</f>
        <v>484</v>
      </c>
      <c r="W509" s="276"/>
      <c r="X509" s="276">
        <f t="shared" si="70"/>
        <v>0</v>
      </c>
      <c r="Y509" s="276"/>
      <c r="Z509" s="276"/>
      <c r="AB509" s="278" t="str">
        <f t="shared" si="71"/>
        <v>TinSmelter not listed</v>
      </c>
    </row>
    <row r="510" spans="1:28" s="277" customFormat="1" ht="40.5">
      <c r="A510" s="216"/>
      <c r="B510" s="217" t="s">
        <v>1154</v>
      </c>
      <c r="C510" s="221" t="s">
        <v>1898</v>
      </c>
      <c r="D510" s="283" t="s">
        <v>15847</v>
      </c>
      <c r="E510" s="217" t="s">
        <v>1123</v>
      </c>
      <c r="F510" s="217" t="s">
        <v>14250</v>
      </c>
      <c r="G510" s="217" t="s">
        <v>14250</v>
      </c>
      <c r="H510" s="218">
        <f ca="1">IF(ISERROR($V510),"",OFFSET('Smelter Look-up'!$G$4,$V510-4,0))</f>
        <v>0</v>
      </c>
      <c r="I510" s="219">
        <f ca="1">IF(ISERROR($V510),"",OFFSET('Smelter Look-up'!$H$4,$V510-4,0))</f>
        <v>0</v>
      </c>
      <c r="J510" s="219">
        <f ca="1">IF(ISERROR($V510),"",OFFSET('Smelter Look-up'!$I$4,$V510-4,0))</f>
        <v>0</v>
      </c>
      <c r="K510" s="273"/>
      <c r="L510" s="273"/>
      <c r="M510" s="273"/>
      <c r="N510" s="273"/>
      <c r="O510" s="273"/>
      <c r="P510" s="220"/>
      <c r="Q510" s="274"/>
      <c r="R510" s="217" t="str">
        <f ca="1">IF(ISERROR($V510),"",OFFSET('Smelter Look-up'!$C$4,$V510-4,0)&amp;"")</f>
        <v/>
      </c>
      <c r="S510" s="225" t="str">
        <f t="shared" ca="1" si="69"/>
        <v>CN</v>
      </c>
      <c r="T510" s="225" t="str">
        <f ca="1">IF(B510="","",IF(ISERROR(MATCH($J510,SorP!$B$1:$B$6230,0)),"",INDIRECT("'SorP'!$A$"&amp;MATCH($J510,SorP!$B$1:$B$6230,0))))</f>
        <v/>
      </c>
      <c r="U510" s="241"/>
      <c r="V510" s="275">
        <f>IF(C510="",NA(),MATCH($B510&amp;$C510,'Smelter Look-up'!$J:$J,0))</f>
        <v>484</v>
      </c>
      <c r="W510" s="276"/>
      <c r="X510" s="276">
        <f t="shared" si="70"/>
        <v>0</v>
      </c>
      <c r="Y510" s="276"/>
      <c r="Z510" s="276"/>
      <c r="AB510" s="278" t="str">
        <f t="shared" si="71"/>
        <v>TinSmelter not listed</v>
      </c>
    </row>
    <row r="511" spans="1:28" s="277" customFormat="1" ht="67.5">
      <c r="A511" s="216"/>
      <c r="B511" s="217" t="s">
        <v>1153</v>
      </c>
      <c r="C511" s="221" t="s">
        <v>2246</v>
      </c>
      <c r="D511" s="283" t="s">
        <v>2246</v>
      </c>
      <c r="E511" s="217" t="s">
        <v>1123</v>
      </c>
      <c r="F511" s="217" t="s">
        <v>761</v>
      </c>
      <c r="G511" s="217" t="s">
        <v>15513</v>
      </c>
      <c r="H511" s="218">
        <f ca="1">IF(ISERROR($V511),"",OFFSET('Smelter Look-up'!$G$4,$V511-4,0))</f>
        <v>0</v>
      </c>
      <c r="I511" s="219" t="str">
        <f ca="1">IF(ISERROR($V511),"",OFFSET('Smelter Look-up'!$H$4,$V511-4,0))</f>
        <v>Kunming</v>
      </c>
      <c r="J511" s="219" t="str">
        <f ca="1">IF(ISERROR($V511),"",OFFSET('Smelter Look-up'!$I$4,$V511-4,0))</f>
        <v>Yunnan Sheng</v>
      </c>
      <c r="K511" s="273"/>
      <c r="L511" s="273"/>
      <c r="M511" s="273"/>
      <c r="N511" s="273"/>
      <c r="O511" s="273"/>
      <c r="P511" s="220"/>
      <c r="Q511" s="274"/>
      <c r="R511" s="217" t="str">
        <f ca="1">IF(ISERROR($V511),"",OFFSET('Smelter Look-up'!$C$4,$V511-4,0)&amp;"")</f>
        <v>Yunnan Copper Industry Co., Ltd.</v>
      </c>
      <c r="S511" s="225" t="str">
        <f t="shared" ca="1" si="69"/>
        <v>CN</v>
      </c>
      <c r="T511" s="225" t="str">
        <f ca="1">IF(B511="","",IF(ISERROR(MATCH($J511,SorP!$B$1:$B$6230,0)),"",INDIRECT("'SorP'!$A$"&amp;MATCH($J511,SorP!$B$1:$B$6230,0))))</f>
        <v>CN-YN</v>
      </c>
      <c r="U511" s="241"/>
      <c r="V511" s="275">
        <f>IF(C511="",NA(),MATCH($B511&amp;$C511,'Smelter Look-up'!$J:$J,0))</f>
        <v>281</v>
      </c>
      <c r="W511" s="276"/>
      <c r="X511" s="276">
        <f t="shared" si="70"/>
        <v>0</v>
      </c>
      <c r="Y511" s="276"/>
      <c r="Z511" s="276"/>
      <c r="AB511" s="278" t="str">
        <f t="shared" si="71"/>
        <v>GoldYunnan Copper Industry Co., Ltd.</v>
      </c>
    </row>
    <row r="512" spans="1:28" s="277" customFormat="1" ht="40.5">
      <c r="A512" s="216"/>
      <c r="B512" s="217" t="s">
        <v>1154</v>
      </c>
      <c r="C512" s="221" t="s">
        <v>1898</v>
      </c>
      <c r="D512" s="283" t="s">
        <v>15848</v>
      </c>
      <c r="E512" s="217" t="s">
        <v>1123</v>
      </c>
      <c r="F512" s="217" t="s">
        <v>14250</v>
      </c>
      <c r="G512" s="217" t="s">
        <v>14250</v>
      </c>
      <c r="H512" s="218">
        <f ca="1">IF(ISERROR($V512),"",OFFSET('Smelter Look-up'!$G$4,$V512-4,0))</f>
        <v>0</v>
      </c>
      <c r="I512" s="219">
        <f ca="1">IF(ISERROR($V512),"",OFFSET('Smelter Look-up'!$H$4,$V512-4,0))</f>
        <v>0</v>
      </c>
      <c r="J512" s="219">
        <f ca="1">IF(ISERROR($V512),"",OFFSET('Smelter Look-up'!$I$4,$V512-4,0))</f>
        <v>0</v>
      </c>
      <c r="K512" s="273"/>
      <c r="L512" s="273"/>
      <c r="M512" s="273"/>
      <c r="N512" s="273"/>
      <c r="O512" s="273"/>
      <c r="P512" s="220"/>
      <c r="Q512" s="274"/>
      <c r="R512" s="217" t="str">
        <f ca="1">IF(ISERROR($V512),"",OFFSET('Smelter Look-up'!$C$4,$V512-4,0)&amp;"")</f>
        <v/>
      </c>
      <c r="S512" s="225" t="str">
        <f t="shared" ca="1" si="69"/>
        <v>CN</v>
      </c>
      <c r="T512" s="225" t="str">
        <f ca="1">IF(B512="","",IF(ISERROR(MATCH($J512,SorP!$B$1:$B$6230,0)),"",INDIRECT("'SorP'!$A$"&amp;MATCH($J512,SorP!$B$1:$B$6230,0))))</f>
        <v/>
      </c>
      <c r="U512" s="241"/>
      <c r="V512" s="275">
        <f>IF(C512="",NA(),MATCH($B512&amp;$C512,'Smelter Look-up'!$J:$J,0))</f>
        <v>484</v>
      </c>
      <c r="W512" s="276"/>
      <c r="X512" s="276">
        <f t="shared" si="70"/>
        <v>0</v>
      </c>
      <c r="Y512" s="276"/>
      <c r="Z512" s="276"/>
      <c r="AB512" s="278" t="str">
        <f t="shared" si="71"/>
        <v>TinSmelter not listed</v>
      </c>
    </row>
    <row r="513" spans="1:28" s="277" customFormat="1" ht="40.5">
      <c r="A513" s="216"/>
      <c r="B513" s="217" t="s">
        <v>1154</v>
      </c>
      <c r="C513" s="221" t="s">
        <v>1898</v>
      </c>
      <c r="D513" s="283" t="s">
        <v>15849</v>
      </c>
      <c r="E513" s="217" t="s">
        <v>1123</v>
      </c>
      <c r="F513" s="217" t="s">
        <v>14250</v>
      </c>
      <c r="G513" s="217" t="s">
        <v>14250</v>
      </c>
      <c r="H513" s="218">
        <f ca="1">IF(ISERROR($V513),"",OFFSET('Smelter Look-up'!$G$4,$V513-4,0))</f>
        <v>0</v>
      </c>
      <c r="I513" s="219">
        <f ca="1">IF(ISERROR($V513),"",OFFSET('Smelter Look-up'!$H$4,$V513-4,0))</f>
        <v>0</v>
      </c>
      <c r="J513" s="219">
        <f ca="1">IF(ISERROR($V513),"",OFFSET('Smelter Look-up'!$I$4,$V513-4,0))</f>
        <v>0</v>
      </c>
      <c r="K513" s="273"/>
      <c r="L513" s="273"/>
      <c r="M513" s="273"/>
      <c r="N513" s="273"/>
      <c r="O513" s="273"/>
      <c r="P513" s="220"/>
      <c r="Q513" s="274"/>
      <c r="R513" s="217" t="str">
        <f ca="1">IF(ISERROR($V513),"",OFFSET('Smelter Look-up'!$C$4,$V513-4,0)&amp;"")</f>
        <v/>
      </c>
      <c r="S513" s="225" t="str">
        <f t="shared" ca="1" si="69"/>
        <v>CN</v>
      </c>
      <c r="T513" s="225" t="str">
        <f ca="1">IF(B513="","",IF(ISERROR(MATCH($J513,SorP!$B$1:$B$6230,0)),"",INDIRECT("'SorP'!$A$"&amp;MATCH($J513,SorP!$B$1:$B$6230,0))))</f>
        <v/>
      </c>
      <c r="U513" s="241"/>
      <c r="V513" s="275">
        <f>IF(C513="",NA(),MATCH($B513&amp;$C513,'Smelter Look-up'!$J:$J,0))</f>
        <v>484</v>
      </c>
      <c r="W513" s="276"/>
      <c r="X513" s="276">
        <f t="shared" si="70"/>
        <v>0</v>
      </c>
      <c r="Y513" s="276"/>
      <c r="Z513" s="276"/>
      <c r="AB513" s="278" t="str">
        <f t="shared" si="71"/>
        <v>TinSmelter not listed</v>
      </c>
    </row>
    <row r="514" spans="1:28" s="277" customFormat="1" ht="40.5">
      <c r="A514" s="216"/>
      <c r="B514" s="217" t="s">
        <v>1153</v>
      </c>
      <c r="C514" s="221" t="s">
        <v>1898</v>
      </c>
      <c r="D514" s="283" t="s">
        <v>15850</v>
      </c>
      <c r="E514" s="217" t="s">
        <v>1123</v>
      </c>
      <c r="F514" s="217" t="s">
        <v>14250</v>
      </c>
      <c r="G514" s="217" t="s">
        <v>14250</v>
      </c>
      <c r="H514" s="218">
        <f ca="1">IF(ISERROR($V514),"",OFFSET('Smelter Look-up'!$G$4,$V514-4,0))</f>
        <v>0</v>
      </c>
      <c r="I514" s="219">
        <f ca="1">IF(ISERROR($V514),"",OFFSET('Smelter Look-up'!$H$4,$V514-4,0))</f>
        <v>0</v>
      </c>
      <c r="J514" s="219">
        <f ca="1">IF(ISERROR($V514),"",OFFSET('Smelter Look-up'!$I$4,$V514-4,0))</f>
        <v>0</v>
      </c>
      <c r="K514" s="273"/>
      <c r="L514" s="273"/>
      <c r="M514" s="273"/>
      <c r="N514" s="273"/>
      <c r="O514" s="273"/>
      <c r="P514" s="220"/>
      <c r="Q514" s="274"/>
      <c r="R514" s="217" t="str">
        <f ca="1">IF(ISERROR($V514),"",OFFSET('Smelter Look-up'!$C$4,$V514-4,0)&amp;"")</f>
        <v/>
      </c>
      <c r="S514" s="225" t="str">
        <f t="shared" ca="1" si="69"/>
        <v>CN</v>
      </c>
      <c r="T514" s="225" t="str">
        <f ca="1">IF(B514="","",IF(ISERROR(MATCH($J514,SorP!$B$1:$B$6230,0)),"",INDIRECT("'SorP'!$A$"&amp;MATCH($J514,SorP!$B$1:$B$6230,0))))</f>
        <v/>
      </c>
      <c r="U514" s="241"/>
      <c r="V514" s="275">
        <f>IF(C514="",NA(),MATCH($B514&amp;$C514,'Smelter Look-up'!$J:$J,0))</f>
        <v>293</v>
      </c>
      <c r="W514" s="276"/>
      <c r="X514" s="276">
        <f t="shared" si="70"/>
        <v>0</v>
      </c>
      <c r="Y514" s="276"/>
      <c r="Z514" s="276"/>
      <c r="AB514" s="278" t="str">
        <f t="shared" si="71"/>
        <v>GoldSmelter not listed</v>
      </c>
    </row>
    <row r="515" spans="1:28" s="277" customFormat="1" ht="40.5">
      <c r="A515" s="216"/>
      <c r="B515" s="217" t="s">
        <v>1154</v>
      </c>
      <c r="C515" s="221" t="s">
        <v>1898</v>
      </c>
      <c r="D515" s="283" t="s">
        <v>15851</v>
      </c>
      <c r="E515" s="217" t="s">
        <v>1123</v>
      </c>
      <c r="F515" s="217" t="s">
        <v>14250</v>
      </c>
      <c r="G515" s="217" t="s">
        <v>14250</v>
      </c>
      <c r="H515" s="218">
        <f ca="1">IF(ISERROR($V515),"",OFFSET('Smelter Look-up'!$G$4,$V515-4,0))</f>
        <v>0</v>
      </c>
      <c r="I515" s="219">
        <f ca="1">IF(ISERROR($V515),"",OFFSET('Smelter Look-up'!$H$4,$V515-4,0))</f>
        <v>0</v>
      </c>
      <c r="J515" s="219">
        <f ca="1">IF(ISERROR($V515),"",OFFSET('Smelter Look-up'!$I$4,$V515-4,0))</f>
        <v>0</v>
      </c>
      <c r="K515" s="273"/>
      <c r="L515" s="273"/>
      <c r="M515" s="273"/>
      <c r="N515" s="273"/>
      <c r="O515" s="273"/>
      <c r="P515" s="220"/>
      <c r="Q515" s="274"/>
      <c r="R515" s="217" t="str">
        <f ca="1">IF(ISERROR($V515),"",OFFSET('Smelter Look-up'!$C$4,$V515-4,0)&amp;"")</f>
        <v/>
      </c>
      <c r="S515" s="225" t="str">
        <f t="shared" ca="1" si="69"/>
        <v>CN</v>
      </c>
      <c r="T515" s="225" t="str">
        <f ca="1">IF(B515="","",IF(ISERROR(MATCH($J515,SorP!$B$1:$B$6230,0)),"",INDIRECT("'SorP'!$A$"&amp;MATCH($J515,SorP!$B$1:$B$6230,0))))</f>
        <v/>
      </c>
      <c r="U515" s="241"/>
      <c r="V515" s="275">
        <f>IF(C515="",NA(),MATCH($B515&amp;$C515,'Smelter Look-up'!$J:$J,0))</f>
        <v>484</v>
      </c>
      <c r="W515" s="276"/>
      <c r="X515" s="276">
        <f t="shared" si="70"/>
        <v>0</v>
      </c>
      <c r="Y515" s="276"/>
      <c r="Z515" s="276"/>
      <c r="AB515" s="278" t="str">
        <f t="shared" si="71"/>
        <v>TinSmelter not listed</v>
      </c>
    </row>
    <row r="516" spans="1:28" s="277" customFormat="1" ht="40.5">
      <c r="A516" s="216"/>
      <c r="B516" s="217" t="s">
        <v>1154</v>
      </c>
      <c r="C516" s="221" t="s">
        <v>1898</v>
      </c>
      <c r="D516" s="283" t="s">
        <v>15852</v>
      </c>
      <c r="E516" s="217" t="s">
        <v>1123</v>
      </c>
      <c r="F516" s="217" t="s">
        <v>14250</v>
      </c>
      <c r="G516" s="217" t="s">
        <v>14250</v>
      </c>
      <c r="H516" s="218">
        <f ca="1">IF(ISERROR($V516),"",OFFSET('Smelter Look-up'!$G$4,$V516-4,0))</f>
        <v>0</v>
      </c>
      <c r="I516" s="219">
        <f ca="1">IF(ISERROR($V516),"",OFFSET('Smelter Look-up'!$H$4,$V516-4,0))</f>
        <v>0</v>
      </c>
      <c r="J516" s="219">
        <f ca="1">IF(ISERROR($V516),"",OFFSET('Smelter Look-up'!$I$4,$V516-4,0))</f>
        <v>0</v>
      </c>
      <c r="K516" s="273"/>
      <c r="L516" s="273"/>
      <c r="M516" s="273"/>
      <c r="N516" s="273"/>
      <c r="O516" s="273"/>
      <c r="P516" s="220"/>
      <c r="Q516" s="274"/>
      <c r="R516" s="217" t="str">
        <f ca="1">IF(ISERROR($V516),"",OFFSET('Smelter Look-up'!$C$4,$V516-4,0)&amp;"")</f>
        <v/>
      </c>
      <c r="S516" s="225" t="str">
        <f t="shared" ca="1" si="69"/>
        <v>CN</v>
      </c>
      <c r="T516" s="225" t="str">
        <f ca="1">IF(B516="","",IF(ISERROR(MATCH($J516,SorP!$B$1:$B$6230,0)),"",INDIRECT("'SorP'!$A$"&amp;MATCH($J516,SorP!$B$1:$B$6230,0))))</f>
        <v/>
      </c>
      <c r="U516" s="241"/>
      <c r="V516" s="275">
        <f>IF(C516="",NA(),MATCH($B516&amp;$C516,'Smelter Look-up'!$J:$J,0))</f>
        <v>484</v>
      </c>
      <c r="W516" s="276"/>
      <c r="X516" s="276">
        <f t="shared" si="70"/>
        <v>0</v>
      </c>
      <c r="Y516" s="276"/>
      <c r="Z516" s="276"/>
      <c r="AB516" s="278" t="str">
        <f t="shared" si="71"/>
        <v>TinSmelter not listed</v>
      </c>
    </row>
    <row r="517" spans="1:28" s="277" customFormat="1" ht="67.5">
      <c r="A517" s="216"/>
      <c r="B517" s="217" t="s">
        <v>1154</v>
      </c>
      <c r="C517" s="221" t="s">
        <v>2471</v>
      </c>
      <c r="D517" s="283" t="s">
        <v>2471</v>
      </c>
      <c r="E517" s="217" t="s">
        <v>1123</v>
      </c>
      <c r="F517" s="217" t="s">
        <v>809</v>
      </c>
      <c r="G517" s="217" t="s">
        <v>15513</v>
      </c>
      <c r="H517" s="218">
        <f ca="1">IF(ISERROR($V517),"",OFFSET('Smelter Look-up'!$G$4,$V517-4,0))</f>
        <v>0</v>
      </c>
      <c r="I517" s="219" t="str">
        <f ca="1">IF(ISERROR($V517),"",OFFSET('Smelter Look-up'!$H$4,$V517-4,0))</f>
        <v>Gejiu</v>
      </c>
      <c r="J517" s="219" t="str">
        <f ca="1">IF(ISERROR($V517),"",OFFSET('Smelter Look-up'!$I$4,$V517-4,0))</f>
        <v>Yunnan Sheng</v>
      </c>
      <c r="K517" s="273"/>
      <c r="L517" s="273"/>
      <c r="M517" s="273"/>
      <c r="N517" s="273"/>
      <c r="O517" s="273"/>
      <c r="P517" s="220"/>
      <c r="Q517" s="274"/>
      <c r="R517" s="217" t="str">
        <f ca="1">IF(ISERROR($V517),"",OFFSET('Smelter Look-up'!$C$4,$V517-4,0)&amp;"")</f>
        <v>Yunnan Tin Company Limited</v>
      </c>
      <c r="S517" s="225" t="str">
        <f t="shared" ref="S517" ca="1" si="72">IF(B517="","",IF(ISERROR(MATCH($E517,CL,0)),"Unknown",INDIRECT("'C'!$A$"&amp;MATCH($E517,CL,0)+1)))</f>
        <v>CN</v>
      </c>
      <c r="T517" s="225" t="str">
        <f ca="1">IF(B517="","",IF(ISERROR(MATCH($J517,SorP!$B$1:$B$6230,0)),"",INDIRECT("'SorP'!$A$"&amp;MATCH($J517,SorP!$B$1:$B$6230,0))))</f>
        <v>CN-YN</v>
      </c>
      <c r="U517" s="241"/>
      <c r="V517" s="275">
        <f>IF(C517="",NA(),MATCH($B517&amp;$C517,'Smelter Look-up'!$J:$J,0))</f>
        <v>477</v>
      </c>
      <c r="W517" s="276"/>
      <c r="X517" s="276">
        <f t="shared" ref="X517" si="73">IF(AND(C517="Smelter not listed",OR(LEN(D517)=0,LEN(E517)=0)),1,0)</f>
        <v>0</v>
      </c>
      <c r="Y517" s="276"/>
      <c r="Z517" s="276"/>
      <c r="AB517" s="278" t="str">
        <f t="shared" ref="AB517" si="74">B517&amp;C517</f>
        <v>TinYunnan Tin Company Limited</v>
      </c>
    </row>
    <row r="518" spans="1:28" s="277" customFormat="1" ht="94.5">
      <c r="A518" s="216"/>
      <c r="B518" s="217" t="s">
        <v>1154</v>
      </c>
      <c r="C518" s="221" t="s">
        <v>14161</v>
      </c>
      <c r="D518" s="283" t="s">
        <v>14161</v>
      </c>
      <c r="E518" s="217" t="s">
        <v>1123</v>
      </c>
      <c r="F518" s="217" t="s">
        <v>14162</v>
      </c>
      <c r="G518" s="217" t="s">
        <v>14250</v>
      </c>
      <c r="H518" s="218">
        <f ca="1">IF(ISERROR($V518),"",OFFSET('Smelter Look-up'!$G$4,$V518-4,0))</f>
        <v>0</v>
      </c>
      <c r="I518" s="219" t="str">
        <f ca="1">IF(ISERROR($V518),"",OFFSET('Smelter Look-up'!$H$4,$V518-4,0))</f>
        <v>Gejiu</v>
      </c>
      <c r="J518" s="219" t="str">
        <f ca="1">IF(ISERROR($V518),"",OFFSET('Smelter Look-up'!$I$4,$V518-4,0))</f>
        <v>Yunnan Sheng</v>
      </c>
      <c r="K518" s="273"/>
      <c r="L518" s="273"/>
      <c r="M518" s="273"/>
      <c r="N518" s="273"/>
      <c r="O518" s="273"/>
      <c r="P518" s="220"/>
      <c r="Q518" s="274"/>
      <c r="R518" s="217" t="str">
        <f ca="1">IF(ISERROR($V518),"",OFFSET('Smelter Look-up'!$C$4,$V518-4,0)&amp;"")</f>
        <v>Yunnan Yunfan Non-ferrous Metals Co., Ltd.</v>
      </c>
      <c r="S518" s="225" t="str">
        <f t="shared" ref="S518:S549" ca="1" si="75">IF(B518="","",IF(ISERROR(MATCH($E518,CL,0)),"Unknown",INDIRECT("'C'!$A$"&amp;MATCH($E518,CL,0)+1)))</f>
        <v>CN</v>
      </c>
      <c r="T518" s="225" t="str">
        <f ca="1">IF(B518="","",IF(ISERROR(MATCH($J518,SorP!$B$1:$B$6230,0)),"",INDIRECT("'SorP'!$A$"&amp;MATCH($J518,SorP!$B$1:$B$6230,0))))</f>
        <v>CN-YN</v>
      </c>
      <c r="U518" s="241"/>
      <c r="V518" s="275">
        <f>IF(C518="",NA(),MATCH($B518&amp;$C518,'Smelter Look-up'!$J:$J,0))</f>
        <v>481</v>
      </c>
      <c r="W518" s="276"/>
      <c r="X518" s="276">
        <f t="shared" ref="X518:X549" si="76">IF(AND(C518="Smelter not listed",OR(LEN(D518)=0,LEN(E518)=0)),1,0)</f>
        <v>0</v>
      </c>
      <c r="Y518" s="276"/>
      <c r="Z518" s="276"/>
      <c r="AB518" s="278" t="str">
        <f t="shared" ref="AB518:AB549" si="77">B518&amp;C518</f>
        <v>TinYunnan Yunfan Non-ferrous Metals Co., Ltd.</v>
      </c>
    </row>
    <row r="519" spans="1:28" s="277" customFormat="1" ht="81">
      <c r="A519" s="216"/>
      <c r="B519" s="217" t="s">
        <v>1156</v>
      </c>
      <c r="C519" s="221" t="s">
        <v>1898</v>
      </c>
      <c r="D519" s="283" t="s">
        <v>15853</v>
      </c>
      <c r="E519" s="217" t="s">
        <v>1123</v>
      </c>
      <c r="F519" s="217" t="s">
        <v>14250</v>
      </c>
      <c r="G519" s="217" t="s">
        <v>14250</v>
      </c>
      <c r="H519" s="218">
        <f ca="1">IF(ISERROR($V519),"",OFFSET('Smelter Look-up'!$G$4,$V519-4,0))</f>
        <v>0</v>
      </c>
      <c r="I519" s="219">
        <f ca="1">IF(ISERROR($V519),"",OFFSET('Smelter Look-up'!$H$4,$V519-4,0))</f>
        <v>0</v>
      </c>
      <c r="J519" s="219">
        <f ca="1">IF(ISERROR($V519),"",OFFSET('Smelter Look-up'!$I$4,$V519-4,0))</f>
        <v>0</v>
      </c>
      <c r="K519" s="273"/>
      <c r="L519" s="273"/>
      <c r="M519" s="273"/>
      <c r="N519" s="273"/>
      <c r="O519" s="273"/>
      <c r="P519" s="220"/>
      <c r="Q519" s="274" t="s">
        <v>15525</v>
      </c>
      <c r="R519" s="217" t="str">
        <f ca="1">IF(ISERROR($V519),"",OFFSET('Smelter Look-up'!$C$4,$V519-4,0)&amp;"")</f>
        <v/>
      </c>
      <c r="S519" s="225" t="str">
        <f t="shared" ca="1" si="75"/>
        <v>CN</v>
      </c>
      <c r="T519" s="225" t="str">
        <f ca="1">IF(B519="","",IF(ISERROR(MATCH($J519,SorP!$B$1:$B$6230,0)),"",INDIRECT("'SorP'!$A$"&amp;MATCH($J519,SorP!$B$1:$B$6230,0))))</f>
        <v/>
      </c>
      <c r="U519" s="241"/>
      <c r="V519" s="275">
        <f>IF(C519="",NA(),MATCH($B519&amp;$C519,'Smelter Look-up'!$J:$J,0))</f>
        <v>590</v>
      </c>
      <c r="W519" s="276"/>
      <c r="X519" s="276">
        <f t="shared" si="76"/>
        <v>0</v>
      </c>
      <c r="Y519" s="276"/>
      <c r="Z519" s="276"/>
      <c r="AB519" s="278" t="str">
        <f t="shared" si="77"/>
        <v>TungstenSmelter not listed</v>
      </c>
    </row>
    <row r="520" spans="1:28" s="277" customFormat="1" ht="40.5">
      <c r="A520" s="216"/>
      <c r="B520" s="217" t="s">
        <v>1153</v>
      </c>
      <c r="C520" s="221" t="s">
        <v>1898</v>
      </c>
      <c r="D520" s="283" t="s">
        <v>15854</v>
      </c>
      <c r="E520" s="217" t="s">
        <v>1123</v>
      </c>
      <c r="F520" s="217" t="s">
        <v>14250</v>
      </c>
      <c r="G520" s="217" t="s">
        <v>14250</v>
      </c>
      <c r="H520" s="218">
        <f ca="1">IF(ISERROR($V520),"",OFFSET('Smelter Look-up'!$G$4,$V520-4,0))</f>
        <v>0</v>
      </c>
      <c r="I520" s="219">
        <f ca="1">IF(ISERROR($V520),"",OFFSET('Smelter Look-up'!$H$4,$V520-4,0))</f>
        <v>0</v>
      </c>
      <c r="J520" s="219">
        <f ca="1">IF(ISERROR($V520),"",OFFSET('Smelter Look-up'!$I$4,$V520-4,0))</f>
        <v>0</v>
      </c>
      <c r="K520" s="273"/>
      <c r="L520" s="273"/>
      <c r="M520" s="273"/>
      <c r="N520" s="273"/>
      <c r="O520" s="273"/>
      <c r="P520" s="220"/>
      <c r="Q520" s="274"/>
      <c r="R520" s="217" t="str">
        <f ca="1">IF(ISERROR($V520),"",OFFSET('Smelter Look-up'!$C$4,$V520-4,0)&amp;"")</f>
        <v/>
      </c>
      <c r="S520" s="225" t="str">
        <f t="shared" ca="1" si="75"/>
        <v>CN</v>
      </c>
      <c r="T520" s="225" t="str">
        <f ca="1">IF(B520="","",IF(ISERROR(MATCH($J520,SorP!$B$1:$B$6230,0)),"",INDIRECT("'SorP'!$A$"&amp;MATCH($J520,SorP!$B$1:$B$6230,0))))</f>
        <v/>
      </c>
      <c r="U520" s="241"/>
      <c r="V520" s="275">
        <f>IF(C520="",NA(),MATCH($B520&amp;$C520,'Smelter Look-up'!$J:$J,0))</f>
        <v>293</v>
      </c>
      <c r="W520" s="276"/>
      <c r="X520" s="276">
        <f t="shared" si="76"/>
        <v>0</v>
      </c>
      <c r="Y520" s="276"/>
      <c r="Z520" s="276"/>
      <c r="AB520" s="278" t="str">
        <f t="shared" si="77"/>
        <v>GoldSmelter not listed</v>
      </c>
    </row>
    <row r="521" spans="1:28" s="277" customFormat="1" ht="40.5">
      <c r="A521" s="216"/>
      <c r="B521" s="217" t="s">
        <v>1153</v>
      </c>
      <c r="C521" s="221" t="s">
        <v>1898</v>
      </c>
      <c r="D521" s="283" t="s">
        <v>15855</v>
      </c>
      <c r="E521" s="217" t="s">
        <v>1123</v>
      </c>
      <c r="F521" s="217" t="s">
        <v>14250</v>
      </c>
      <c r="G521" s="217" t="s">
        <v>14250</v>
      </c>
      <c r="H521" s="218">
        <f ca="1">IF(ISERROR($V521),"",OFFSET('Smelter Look-up'!$G$4,$V521-4,0))</f>
        <v>0</v>
      </c>
      <c r="I521" s="219">
        <f ca="1">IF(ISERROR($V521),"",OFFSET('Smelter Look-up'!$H$4,$V521-4,0))</f>
        <v>0</v>
      </c>
      <c r="J521" s="219">
        <f ca="1">IF(ISERROR($V521),"",OFFSET('Smelter Look-up'!$I$4,$V521-4,0))</f>
        <v>0</v>
      </c>
      <c r="K521" s="273"/>
      <c r="L521" s="273"/>
      <c r="M521" s="273"/>
      <c r="N521" s="273"/>
      <c r="O521" s="273"/>
      <c r="P521" s="220"/>
      <c r="Q521" s="274"/>
      <c r="R521" s="217" t="str">
        <f ca="1">IF(ISERROR($V521),"",OFFSET('Smelter Look-up'!$C$4,$V521-4,0)&amp;"")</f>
        <v/>
      </c>
      <c r="S521" s="225" t="str">
        <f t="shared" ca="1" si="75"/>
        <v>CN</v>
      </c>
      <c r="T521" s="225" t="str">
        <f ca="1">IF(B521="","",IF(ISERROR(MATCH($J521,SorP!$B$1:$B$6230,0)),"",INDIRECT("'SorP'!$A$"&amp;MATCH($J521,SorP!$B$1:$B$6230,0))))</f>
        <v/>
      </c>
      <c r="U521" s="241"/>
      <c r="V521" s="275">
        <f>IF(C521="",NA(),MATCH($B521&amp;$C521,'Smelter Look-up'!$J:$J,0))</f>
        <v>293</v>
      </c>
      <c r="W521" s="276"/>
      <c r="X521" s="276">
        <f t="shared" si="76"/>
        <v>0</v>
      </c>
      <c r="Y521" s="276"/>
      <c r="Z521" s="276"/>
      <c r="AB521" s="278" t="str">
        <f t="shared" si="77"/>
        <v>GoldSmelter not listed</v>
      </c>
    </row>
    <row r="522" spans="1:28" s="277" customFormat="1" ht="40.5">
      <c r="A522" s="216"/>
      <c r="B522" s="217" t="s">
        <v>1153</v>
      </c>
      <c r="C522" s="221" t="s">
        <v>1898</v>
      </c>
      <c r="D522" s="283" t="s">
        <v>15856</v>
      </c>
      <c r="E522" s="217" t="s">
        <v>1123</v>
      </c>
      <c r="F522" s="217" t="s">
        <v>14250</v>
      </c>
      <c r="G522" s="217" t="s">
        <v>14250</v>
      </c>
      <c r="H522" s="218">
        <f ca="1">IF(ISERROR($V522),"",OFFSET('Smelter Look-up'!$G$4,$V522-4,0))</f>
        <v>0</v>
      </c>
      <c r="I522" s="219">
        <f ca="1">IF(ISERROR($V522),"",OFFSET('Smelter Look-up'!$H$4,$V522-4,0))</f>
        <v>0</v>
      </c>
      <c r="J522" s="219">
        <f ca="1">IF(ISERROR($V522),"",OFFSET('Smelter Look-up'!$I$4,$V522-4,0))</f>
        <v>0</v>
      </c>
      <c r="K522" s="273"/>
      <c r="L522" s="273"/>
      <c r="M522" s="273"/>
      <c r="N522" s="273"/>
      <c r="O522" s="273"/>
      <c r="P522" s="220"/>
      <c r="Q522" s="274"/>
      <c r="R522" s="217" t="str">
        <f ca="1">IF(ISERROR($V522),"",OFFSET('Smelter Look-up'!$C$4,$V522-4,0)&amp;"")</f>
        <v/>
      </c>
      <c r="S522" s="225" t="str">
        <f t="shared" ca="1" si="75"/>
        <v>CN</v>
      </c>
      <c r="T522" s="225" t="str">
        <f ca="1">IF(B522="","",IF(ISERROR(MATCH($J522,SorP!$B$1:$B$6230,0)),"",INDIRECT("'SorP'!$A$"&amp;MATCH($J522,SorP!$B$1:$B$6230,0))))</f>
        <v/>
      </c>
      <c r="U522" s="241"/>
      <c r="V522" s="275">
        <f>IF(C522="",NA(),MATCH($B522&amp;$C522,'Smelter Look-up'!$J:$J,0))</f>
        <v>293</v>
      </c>
      <c r="W522" s="276"/>
      <c r="X522" s="276">
        <f t="shared" si="76"/>
        <v>0</v>
      </c>
      <c r="Y522" s="276"/>
      <c r="Z522" s="276"/>
      <c r="AB522" s="278" t="str">
        <f t="shared" si="77"/>
        <v>GoldSmelter not listed</v>
      </c>
    </row>
    <row r="523" spans="1:28" s="277" customFormat="1" ht="40.5">
      <c r="A523" s="216"/>
      <c r="B523" s="217" t="s">
        <v>1153</v>
      </c>
      <c r="C523" s="221" t="s">
        <v>1898</v>
      </c>
      <c r="D523" s="283" t="s">
        <v>15857</v>
      </c>
      <c r="E523" s="217" t="s">
        <v>1123</v>
      </c>
      <c r="F523" s="217" t="s">
        <v>14250</v>
      </c>
      <c r="G523" s="217" t="s">
        <v>14250</v>
      </c>
      <c r="H523" s="218">
        <f ca="1">IF(ISERROR($V523),"",OFFSET('Smelter Look-up'!$G$4,$V523-4,0))</f>
        <v>0</v>
      </c>
      <c r="I523" s="219">
        <f ca="1">IF(ISERROR($V523),"",OFFSET('Smelter Look-up'!$H$4,$V523-4,0))</f>
        <v>0</v>
      </c>
      <c r="J523" s="219">
        <f ca="1">IF(ISERROR($V523),"",OFFSET('Smelter Look-up'!$I$4,$V523-4,0))</f>
        <v>0</v>
      </c>
      <c r="K523" s="273"/>
      <c r="L523" s="273"/>
      <c r="M523" s="273"/>
      <c r="N523" s="273"/>
      <c r="O523" s="273"/>
      <c r="P523" s="220"/>
      <c r="Q523" s="274"/>
      <c r="R523" s="217" t="str">
        <f ca="1">IF(ISERROR($V523),"",OFFSET('Smelter Look-up'!$C$4,$V523-4,0)&amp;"")</f>
        <v/>
      </c>
      <c r="S523" s="225" t="str">
        <f t="shared" ca="1" si="75"/>
        <v>CN</v>
      </c>
      <c r="T523" s="225" t="str">
        <f ca="1">IF(B523="","",IF(ISERROR(MATCH($J523,SorP!$B$1:$B$6230,0)),"",INDIRECT("'SorP'!$A$"&amp;MATCH($J523,SorP!$B$1:$B$6230,0))))</f>
        <v/>
      </c>
      <c r="U523" s="241"/>
      <c r="V523" s="275">
        <f>IF(C523="",NA(),MATCH($B523&amp;$C523,'Smelter Look-up'!$J:$J,0))</f>
        <v>293</v>
      </c>
      <c r="W523" s="276"/>
      <c r="X523" s="276">
        <f t="shared" si="76"/>
        <v>0</v>
      </c>
      <c r="Y523" s="276"/>
      <c r="Z523" s="276"/>
      <c r="AB523" s="278" t="str">
        <f t="shared" si="77"/>
        <v>GoldSmelter not listed</v>
      </c>
    </row>
    <row r="524" spans="1:28" s="277" customFormat="1" ht="40.5">
      <c r="A524" s="216"/>
      <c r="B524" s="217" t="s">
        <v>1154</v>
      </c>
      <c r="C524" s="221" t="s">
        <v>1898</v>
      </c>
      <c r="D524" s="283" t="s">
        <v>15858</v>
      </c>
      <c r="E524" s="217" t="s">
        <v>1123</v>
      </c>
      <c r="F524" s="217" t="s">
        <v>14250</v>
      </c>
      <c r="G524" s="217" t="s">
        <v>14250</v>
      </c>
      <c r="H524" s="218">
        <f ca="1">IF(ISERROR($V524),"",OFFSET('Smelter Look-up'!$G$4,$V524-4,0))</f>
        <v>0</v>
      </c>
      <c r="I524" s="219">
        <f ca="1">IF(ISERROR($V524),"",OFFSET('Smelter Look-up'!$H$4,$V524-4,0))</f>
        <v>0</v>
      </c>
      <c r="J524" s="219">
        <f ca="1">IF(ISERROR($V524),"",OFFSET('Smelter Look-up'!$I$4,$V524-4,0))</f>
        <v>0</v>
      </c>
      <c r="K524" s="273"/>
      <c r="L524" s="273"/>
      <c r="M524" s="273"/>
      <c r="N524" s="273"/>
      <c r="O524" s="273"/>
      <c r="P524" s="220"/>
      <c r="Q524" s="274"/>
      <c r="R524" s="217" t="str">
        <f ca="1">IF(ISERROR($V524),"",OFFSET('Smelter Look-up'!$C$4,$V524-4,0)&amp;"")</f>
        <v/>
      </c>
      <c r="S524" s="225" t="str">
        <f t="shared" ca="1" si="75"/>
        <v>CN</v>
      </c>
      <c r="T524" s="225" t="str">
        <f ca="1">IF(B524="","",IF(ISERROR(MATCH($J524,SorP!$B$1:$B$6230,0)),"",INDIRECT("'SorP'!$A$"&amp;MATCH($J524,SorP!$B$1:$B$6230,0))))</f>
        <v/>
      </c>
      <c r="U524" s="241"/>
      <c r="V524" s="275">
        <f>IF(C524="",NA(),MATCH($B524&amp;$C524,'Smelter Look-up'!$J:$J,0))</f>
        <v>484</v>
      </c>
      <c r="W524" s="276"/>
      <c r="X524" s="276">
        <f t="shared" si="76"/>
        <v>0</v>
      </c>
      <c r="Y524" s="276"/>
      <c r="Z524" s="276"/>
      <c r="AB524" s="278" t="str">
        <f t="shared" si="77"/>
        <v>TinSmelter not listed</v>
      </c>
    </row>
    <row r="525" spans="1:28" s="277" customFormat="1" ht="40.5">
      <c r="A525" s="216"/>
      <c r="B525" s="217" t="s">
        <v>1153</v>
      </c>
      <c r="C525" s="221" t="s">
        <v>1898</v>
      </c>
      <c r="D525" s="283" t="s">
        <v>15859</v>
      </c>
      <c r="E525" s="217" t="s">
        <v>1123</v>
      </c>
      <c r="F525" s="217" t="s">
        <v>14250</v>
      </c>
      <c r="G525" s="217" t="s">
        <v>14250</v>
      </c>
      <c r="H525" s="218">
        <f ca="1">IF(ISERROR($V525),"",OFFSET('Smelter Look-up'!$G$4,$V525-4,0))</f>
        <v>0</v>
      </c>
      <c r="I525" s="219">
        <f ca="1">IF(ISERROR($V525),"",OFFSET('Smelter Look-up'!$H$4,$V525-4,0))</f>
        <v>0</v>
      </c>
      <c r="J525" s="219">
        <f ca="1">IF(ISERROR($V525),"",OFFSET('Smelter Look-up'!$I$4,$V525-4,0))</f>
        <v>0</v>
      </c>
      <c r="K525" s="273"/>
      <c r="L525" s="273"/>
      <c r="M525" s="273"/>
      <c r="N525" s="273"/>
      <c r="O525" s="273"/>
      <c r="P525" s="220"/>
      <c r="Q525" s="274"/>
      <c r="R525" s="217" t="str">
        <f ca="1">IF(ISERROR($V525),"",OFFSET('Smelter Look-up'!$C$4,$V525-4,0)&amp;"")</f>
        <v/>
      </c>
      <c r="S525" s="225" t="str">
        <f t="shared" ca="1" si="75"/>
        <v>CN</v>
      </c>
      <c r="T525" s="225" t="str">
        <f ca="1">IF(B525="","",IF(ISERROR(MATCH($J525,SorP!$B$1:$B$6230,0)),"",INDIRECT("'SorP'!$A$"&amp;MATCH($J525,SorP!$B$1:$B$6230,0))))</f>
        <v/>
      </c>
      <c r="U525" s="241"/>
      <c r="V525" s="275">
        <f>IF(C525="",NA(),MATCH($B525&amp;$C525,'Smelter Look-up'!$J:$J,0))</f>
        <v>293</v>
      </c>
      <c r="W525" s="276"/>
      <c r="X525" s="276">
        <f t="shared" si="76"/>
        <v>0</v>
      </c>
      <c r="Y525" s="276"/>
      <c r="Z525" s="276"/>
      <c r="AB525" s="278" t="str">
        <f t="shared" si="77"/>
        <v>GoldSmelter not listed</v>
      </c>
    </row>
    <row r="526" spans="1:28" s="277" customFormat="1" ht="121.5">
      <c r="A526" s="216"/>
      <c r="B526" s="217" t="s">
        <v>1153</v>
      </c>
      <c r="C526" s="221" t="s">
        <v>1348</v>
      </c>
      <c r="D526" s="283" t="s">
        <v>1348</v>
      </c>
      <c r="E526" s="217" t="s">
        <v>1123</v>
      </c>
      <c r="F526" s="217" t="s">
        <v>762</v>
      </c>
      <c r="G526" s="217" t="s">
        <v>15513</v>
      </c>
      <c r="H526" s="218">
        <f ca="1">IF(ISERROR($V526),"",OFFSET('Smelter Look-up'!$G$4,$V526-4,0))</f>
        <v>0</v>
      </c>
      <c r="I526" s="219" t="str">
        <f ca="1">IF(ISERROR($V526),"",OFFSET('Smelter Look-up'!$H$4,$V526-4,0))</f>
        <v>Sanmenxia</v>
      </c>
      <c r="J526" s="219" t="str">
        <f ca="1">IF(ISERROR($V526),"",OFFSET('Smelter Look-up'!$I$4,$V526-4,0))</f>
        <v>Henan Sheng</v>
      </c>
      <c r="K526" s="273"/>
      <c r="L526" s="273"/>
      <c r="M526" s="273"/>
      <c r="N526" s="273"/>
      <c r="O526" s="273"/>
      <c r="P526" s="220"/>
      <c r="Q526" s="274"/>
      <c r="R526" s="217" t="str">
        <f ca="1">IF(ISERROR($V526),"",OFFSET('Smelter Look-up'!$C$4,$V526-4,0)&amp;"")</f>
        <v>Zhongyuan Gold Smelter of Zhongjin Gold Corporation</v>
      </c>
      <c r="S526" s="225" t="str">
        <f t="shared" ca="1" si="75"/>
        <v>CN</v>
      </c>
      <c r="T526" s="225" t="str">
        <f ca="1">IF(B526="","",IF(ISERROR(MATCH($J526,SorP!$B$1:$B$6230,0)),"",INDIRECT("'SorP'!$A$"&amp;MATCH($J526,SorP!$B$1:$B$6230,0))))</f>
        <v>CN-HA</v>
      </c>
      <c r="U526" s="241"/>
      <c r="V526" s="275">
        <f>IF(C526="",NA(),MATCH($B526&amp;$C526,'Smelter Look-up'!$J:$J,0))</f>
        <v>290</v>
      </c>
      <c r="W526" s="276"/>
      <c r="X526" s="276">
        <f t="shared" si="76"/>
        <v>0</v>
      </c>
      <c r="Y526" s="276"/>
      <c r="Z526" s="276"/>
      <c r="AB526" s="278" t="str">
        <f t="shared" si="77"/>
        <v>GoldZhongyuan Gold Smelter of Zhongjin Gold Corporation</v>
      </c>
    </row>
    <row r="527" spans="1:28" s="277" customFormat="1" ht="40.5">
      <c r="A527" s="216"/>
      <c r="B527" s="217" t="s">
        <v>1153</v>
      </c>
      <c r="C527" s="221" t="s">
        <v>1898</v>
      </c>
      <c r="D527" s="283" t="s">
        <v>15860</v>
      </c>
      <c r="E527" s="217" t="s">
        <v>1123</v>
      </c>
      <c r="F527" s="217" t="s">
        <v>14250</v>
      </c>
      <c r="G527" s="217" t="s">
        <v>14250</v>
      </c>
      <c r="H527" s="218">
        <f ca="1">IF(ISERROR($V527),"",OFFSET('Smelter Look-up'!$G$4,$V527-4,0))</f>
        <v>0</v>
      </c>
      <c r="I527" s="219">
        <f ca="1">IF(ISERROR($V527),"",OFFSET('Smelter Look-up'!$H$4,$V527-4,0))</f>
        <v>0</v>
      </c>
      <c r="J527" s="219">
        <f ca="1">IF(ISERROR($V527),"",OFFSET('Smelter Look-up'!$I$4,$V527-4,0))</f>
        <v>0</v>
      </c>
      <c r="K527" s="273"/>
      <c r="L527" s="273"/>
      <c r="M527" s="273"/>
      <c r="N527" s="273"/>
      <c r="O527" s="273"/>
      <c r="P527" s="220"/>
      <c r="Q527" s="274"/>
      <c r="R527" s="217" t="str">
        <f ca="1">IF(ISERROR($V527),"",OFFSET('Smelter Look-up'!$C$4,$V527-4,0)&amp;"")</f>
        <v/>
      </c>
      <c r="S527" s="225" t="str">
        <f t="shared" ca="1" si="75"/>
        <v>CN</v>
      </c>
      <c r="T527" s="225" t="str">
        <f ca="1">IF(B527="","",IF(ISERROR(MATCH($J527,SorP!$B$1:$B$6230,0)),"",INDIRECT("'SorP'!$A$"&amp;MATCH($J527,SorP!$B$1:$B$6230,0))))</f>
        <v/>
      </c>
      <c r="U527" s="241"/>
      <c r="V527" s="275">
        <f>IF(C527="",NA(),MATCH($B527&amp;$C527,'Smelter Look-up'!$J:$J,0))</f>
        <v>293</v>
      </c>
      <c r="W527" s="276"/>
      <c r="X527" s="276">
        <f t="shared" si="76"/>
        <v>0</v>
      </c>
      <c r="Y527" s="276"/>
      <c r="Z527" s="276"/>
      <c r="AB527" s="278" t="str">
        <f t="shared" si="77"/>
        <v>GoldSmelter not listed</v>
      </c>
    </row>
    <row r="528" spans="1:28" s="277" customFormat="1" ht="54">
      <c r="A528" s="216"/>
      <c r="B528" s="217" t="s">
        <v>1155</v>
      </c>
      <c r="C528" s="221" t="s">
        <v>1898</v>
      </c>
      <c r="D528" s="283" t="s">
        <v>15861</v>
      </c>
      <c r="E528" s="217" t="s">
        <v>1123</v>
      </c>
      <c r="F528" s="217" t="s">
        <v>15862</v>
      </c>
      <c r="G528" s="217" t="s">
        <v>15513</v>
      </c>
      <c r="H528" s="218">
        <f ca="1">IF(ISERROR($V528),"",OFFSET('Smelter Look-up'!$G$4,$V528-4,0))</f>
        <v>0</v>
      </c>
      <c r="I528" s="219">
        <f ca="1">IF(ISERROR($V528),"",OFFSET('Smelter Look-up'!$H$4,$V528-4,0))</f>
        <v>0</v>
      </c>
      <c r="J528" s="219">
        <f ca="1">IF(ISERROR($V528),"",OFFSET('Smelter Look-up'!$I$4,$V528-4,0))</f>
        <v>0</v>
      </c>
      <c r="K528" s="273"/>
      <c r="L528" s="273"/>
      <c r="M528" s="273"/>
      <c r="N528" s="273"/>
      <c r="O528" s="273"/>
      <c r="P528" s="220"/>
      <c r="Q528" s="274"/>
      <c r="R528" s="217" t="str">
        <f ca="1">IF(ISERROR($V528),"",OFFSET('Smelter Look-up'!$C$4,$V528-4,0)&amp;"")</f>
        <v/>
      </c>
      <c r="S528" s="225" t="str">
        <f t="shared" ca="1" si="75"/>
        <v>CN</v>
      </c>
      <c r="T528" s="225" t="str">
        <f ca="1">IF(B528="","",IF(ISERROR(MATCH($J528,SorP!$B$1:$B$6230,0)),"",INDIRECT("'SorP'!$A$"&amp;MATCH($J528,SorP!$B$1:$B$6230,0))))</f>
        <v/>
      </c>
      <c r="U528" s="241"/>
      <c r="V528" s="275">
        <f>IF(C528="",NA(),MATCH($B528&amp;$C528,'Smelter Look-up'!$J:$J,0))</f>
        <v>353</v>
      </c>
      <c r="W528" s="276"/>
      <c r="X528" s="276">
        <f t="shared" si="76"/>
        <v>0</v>
      </c>
      <c r="Y528" s="276"/>
      <c r="Z528" s="276"/>
      <c r="AB528" s="278" t="str">
        <f t="shared" si="77"/>
        <v>TantalumSmelter not listed</v>
      </c>
    </row>
    <row r="529" spans="1:28" s="277" customFormat="1" ht="40.5">
      <c r="A529" s="216"/>
      <c r="B529" s="217" t="s">
        <v>1153</v>
      </c>
      <c r="C529" s="221" t="s">
        <v>1898</v>
      </c>
      <c r="D529" s="283" t="s">
        <v>15863</v>
      </c>
      <c r="E529" s="217" t="s">
        <v>1123</v>
      </c>
      <c r="F529" s="217" t="s">
        <v>14250</v>
      </c>
      <c r="G529" s="217" t="s">
        <v>14250</v>
      </c>
      <c r="H529" s="218">
        <f ca="1">IF(ISERROR($V529),"",OFFSET('Smelter Look-up'!$G$4,$V529-4,0))</f>
        <v>0</v>
      </c>
      <c r="I529" s="219">
        <f ca="1">IF(ISERROR($V529),"",OFFSET('Smelter Look-up'!$H$4,$V529-4,0))</f>
        <v>0</v>
      </c>
      <c r="J529" s="219">
        <f ca="1">IF(ISERROR($V529),"",OFFSET('Smelter Look-up'!$I$4,$V529-4,0))</f>
        <v>0</v>
      </c>
      <c r="K529" s="273"/>
      <c r="L529" s="273"/>
      <c r="M529" s="273"/>
      <c r="N529" s="273"/>
      <c r="O529" s="273"/>
      <c r="P529" s="220"/>
      <c r="Q529" s="274"/>
      <c r="R529" s="217" t="str">
        <f ca="1">IF(ISERROR($V529),"",OFFSET('Smelter Look-up'!$C$4,$V529-4,0)&amp;"")</f>
        <v/>
      </c>
      <c r="S529" s="225" t="str">
        <f t="shared" ca="1" si="75"/>
        <v>CN</v>
      </c>
      <c r="T529" s="225" t="str">
        <f ca="1">IF(B529="","",IF(ISERROR(MATCH($J529,SorP!$B$1:$B$6230,0)),"",INDIRECT("'SorP'!$A$"&amp;MATCH($J529,SorP!$B$1:$B$6230,0))))</f>
        <v/>
      </c>
      <c r="U529" s="241"/>
      <c r="V529" s="275">
        <f>IF(C529="",NA(),MATCH($B529&amp;$C529,'Smelter Look-up'!$J:$J,0))</f>
        <v>293</v>
      </c>
      <c r="W529" s="276"/>
      <c r="X529" s="276">
        <f t="shared" si="76"/>
        <v>0</v>
      </c>
      <c r="Y529" s="276"/>
      <c r="Z529" s="276"/>
      <c r="AB529" s="278" t="str">
        <f t="shared" si="77"/>
        <v>GoldSmelter not listed</v>
      </c>
    </row>
    <row r="530" spans="1:28" s="277" customFormat="1" ht="40.5">
      <c r="A530" s="216"/>
      <c r="B530" s="217" t="s">
        <v>1153</v>
      </c>
      <c r="C530" s="221" t="s">
        <v>1898</v>
      </c>
      <c r="D530" s="283" t="s">
        <v>15864</v>
      </c>
      <c r="E530" s="217" t="s">
        <v>1123</v>
      </c>
      <c r="F530" s="217" t="s">
        <v>14250</v>
      </c>
      <c r="G530" s="217" t="s">
        <v>14250</v>
      </c>
      <c r="H530" s="218" t="s">
        <v>15514</v>
      </c>
      <c r="I530" s="219" t="s">
        <v>1723</v>
      </c>
      <c r="J530" s="219" t="s">
        <v>15865</v>
      </c>
      <c r="K530" s="273"/>
      <c r="L530" s="273"/>
      <c r="M530" s="273"/>
      <c r="N530" s="273"/>
      <c r="O530" s="273"/>
      <c r="P530" s="220"/>
      <c r="Q530" s="274"/>
      <c r="R530" s="217" t="str">
        <f ca="1">IF(ISERROR($V530),"",OFFSET('Smelter Look-up'!$C$4,$V530-4,0)&amp;"")</f>
        <v/>
      </c>
      <c r="S530" s="225" t="str">
        <f t="shared" ca="1" si="75"/>
        <v>CN</v>
      </c>
      <c r="T530" s="225" t="str">
        <f ca="1">IF(B530="","",IF(ISERROR(MATCH($J530,SorP!$B$1:$B$6230,0)),"",INDIRECT("'SorP'!$A$"&amp;MATCH($J530,SorP!$B$1:$B$6230,0))))</f>
        <v/>
      </c>
      <c r="U530" s="241"/>
      <c r="V530" s="275">
        <f>IF(C530="",NA(),MATCH($B530&amp;$C530,'Smelter Look-up'!$J:$J,0))</f>
        <v>293</v>
      </c>
      <c r="W530" s="276"/>
      <c r="X530" s="276">
        <f t="shared" si="76"/>
        <v>0</v>
      </c>
      <c r="Y530" s="276"/>
      <c r="Z530" s="276"/>
      <c r="AB530" s="278" t="str">
        <f t="shared" si="77"/>
        <v>GoldSmelter not listed</v>
      </c>
    </row>
    <row r="531" spans="1:28" s="277" customFormat="1" ht="40.5">
      <c r="A531" s="216"/>
      <c r="B531" s="217" t="s">
        <v>1153</v>
      </c>
      <c r="C531" s="221" t="s">
        <v>1898</v>
      </c>
      <c r="D531" s="283" t="s">
        <v>15866</v>
      </c>
      <c r="E531" s="217" t="s">
        <v>1123</v>
      </c>
      <c r="F531" s="217" t="s">
        <v>14250</v>
      </c>
      <c r="G531" s="217" t="s">
        <v>14250</v>
      </c>
      <c r="H531" s="218" t="s">
        <v>15867</v>
      </c>
      <c r="I531" s="219" t="s">
        <v>14250</v>
      </c>
      <c r="J531" s="219" t="s">
        <v>15868</v>
      </c>
      <c r="K531" s="273" t="s">
        <v>15869</v>
      </c>
      <c r="L531" s="273" t="s">
        <v>15870</v>
      </c>
      <c r="M531" s="273"/>
      <c r="N531" s="273" t="s">
        <v>15869</v>
      </c>
      <c r="O531" s="273" t="s">
        <v>15869</v>
      </c>
      <c r="P531" s="220" t="s">
        <v>499</v>
      </c>
      <c r="Q531" s="274"/>
      <c r="R531" s="217" t="str">
        <f ca="1">IF(ISERROR($V531),"",OFFSET('Smelter Look-up'!$C$4,$V531-4,0)&amp;"")</f>
        <v/>
      </c>
      <c r="S531" s="225" t="str">
        <f t="shared" ca="1" si="75"/>
        <v>CN</v>
      </c>
      <c r="T531" s="225" t="str">
        <f ca="1">IF(B531="","",IF(ISERROR(MATCH($J531,SorP!$B$1:$B$6230,0)),"",INDIRECT("'SorP'!$A$"&amp;MATCH($J531,SorP!$B$1:$B$6230,0))))</f>
        <v/>
      </c>
      <c r="U531" s="241"/>
      <c r="V531" s="275">
        <f>IF(C531="",NA(),MATCH($B531&amp;$C531,'Smelter Look-up'!$J:$J,0))</f>
        <v>293</v>
      </c>
      <c r="W531" s="276"/>
      <c r="X531" s="276">
        <f t="shared" si="76"/>
        <v>0</v>
      </c>
      <c r="Y531" s="276"/>
      <c r="Z531" s="276"/>
      <c r="AB531" s="278" t="str">
        <f t="shared" si="77"/>
        <v>GoldSmelter not listed</v>
      </c>
    </row>
    <row r="532" spans="1:28" s="277" customFormat="1" ht="40.5">
      <c r="A532" s="216"/>
      <c r="B532" s="217" t="s">
        <v>1154</v>
      </c>
      <c r="C532" s="221" t="s">
        <v>1898</v>
      </c>
      <c r="D532" s="283" t="s">
        <v>15871</v>
      </c>
      <c r="E532" s="217" t="s">
        <v>1123</v>
      </c>
      <c r="F532" s="217" t="s">
        <v>14250</v>
      </c>
      <c r="G532" s="217" t="s">
        <v>14250</v>
      </c>
      <c r="H532" s="218" t="s">
        <v>15514</v>
      </c>
      <c r="I532" s="219" t="s">
        <v>2590</v>
      </c>
      <c r="J532" s="219" t="s">
        <v>13975</v>
      </c>
      <c r="K532" s="273"/>
      <c r="L532" s="273"/>
      <c r="M532" s="273"/>
      <c r="N532" s="273"/>
      <c r="O532" s="273"/>
      <c r="P532" s="220"/>
      <c r="Q532" s="274"/>
      <c r="R532" s="217" t="str">
        <f ca="1">IF(ISERROR($V532),"",OFFSET('Smelter Look-up'!$C$4,$V532-4,0)&amp;"")</f>
        <v/>
      </c>
      <c r="S532" s="225" t="str">
        <f t="shared" ca="1" si="75"/>
        <v>CN</v>
      </c>
      <c r="T532" s="225" t="str">
        <f ca="1">IF(B532="","",IF(ISERROR(MATCH($J532,SorP!$B$1:$B$6230,0)),"",INDIRECT("'SorP'!$A$"&amp;MATCH($J532,SorP!$B$1:$B$6230,0))))</f>
        <v>CN-YN</v>
      </c>
      <c r="U532" s="241"/>
      <c r="V532" s="275">
        <f>IF(C532="",NA(),MATCH($B532&amp;$C532,'Smelter Look-up'!$J:$J,0))</f>
        <v>484</v>
      </c>
      <c r="W532" s="276"/>
      <c r="X532" s="276">
        <f t="shared" si="76"/>
        <v>0</v>
      </c>
      <c r="Y532" s="276"/>
      <c r="Z532" s="276"/>
      <c r="AB532" s="278" t="str">
        <f t="shared" si="77"/>
        <v>TinSmelter not listed</v>
      </c>
    </row>
    <row r="533" spans="1:28" s="277" customFormat="1" ht="40.5">
      <c r="A533" s="216"/>
      <c r="B533" s="217" t="s">
        <v>1154</v>
      </c>
      <c r="C533" s="221" t="s">
        <v>1898</v>
      </c>
      <c r="D533" s="283" t="s">
        <v>15872</v>
      </c>
      <c r="E533" s="217" t="s">
        <v>1123</v>
      </c>
      <c r="F533" s="217" t="s">
        <v>14250</v>
      </c>
      <c r="G533" s="217" t="s">
        <v>14250</v>
      </c>
      <c r="H533" s="218" t="s">
        <v>15873</v>
      </c>
      <c r="I533" s="219" t="s">
        <v>14250</v>
      </c>
      <c r="J533" s="219" t="s">
        <v>15841</v>
      </c>
      <c r="K533" s="273" t="s">
        <v>15869</v>
      </c>
      <c r="L533" s="273" t="s">
        <v>15874</v>
      </c>
      <c r="M533" s="273"/>
      <c r="N533" s="273" t="s">
        <v>15869</v>
      </c>
      <c r="O533" s="273" t="s">
        <v>15869</v>
      </c>
      <c r="P533" s="220" t="s">
        <v>499</v>
      </c>
      <c r="Q533" s="274"/>
      <c r="R533" s="217" t="str">
        <f ca="1">IF(ISERROR($V533),"",OFFSET('Smelter Look-up'!$C$4,$V533-4,0)&amp;"")</f>
        <v/>
      </c>
      <c r="S533" s="225" t="str">
        <f t="shared" ca="1" si="75"/>
        <v>CN</v>
      </c>
      <c r="T533" s="225" t="str">
        <f ca="1">IF(B533="","",IF(ISERROR(MATCH($J533,SorP!$B$1:$B$6230,0)),"",INDIRECT("'SorP'!$A$"&amp;MATCH($J533,SorP!$B$1:$B$6230,0))))</f>
        <v/>
      </c>
      <c r="U533" s="241"/>
      <c r="V533" s="275">
        <f>IF(C533="",NA(),MATCH($B533&amp;$C533,'Smelter Look-up'!$J:$J,0))</f>
        <v>484</v>
      </c>
      <c r="W533" s="276"/>
      <c r="X533" s="276">
        <f t="shared" si="76"/>
        <v>0</v>
      </c>
      <c r="Y533" s="276"/>
      <c r="Z533" s="276"/>
      <c r="AB533" s="278" t="str">
        <f t="shared" si="77"/>
        <v>TinSmelter not listed</v>
      </c>
    </row>
    <row r="534" spans="1:28" s="277" customFormat="1" ht="40.5">
      <c r="A534" s="216"/>
      <c r="B534" s="217" t="s">
        <v>1153</v>
      </c>
      <c r="C534" s="221" t="s">
        <v>1898</v>
      </c>
      <c r="D534" s="283" t="s">
        <v>15875</v>
      </c>
      <c r="E534" s="217" t="s">
        <v>1123</v>
      </c>
      <c r="F534" s="217" t="s">
        <v>14250</v>
      </c>
      <c r="G534" s="217" t="s">
        <v>14250</v>
      </c>
      <c r="H534" s="218" t="s">
        <v>15876</v>
      </c>
      <c r="I534" s="219" t="s">
        <v>14250</v>
      </c>
      <c r="J534" s="219" t="s">
        <v>15877</v>
      </c>
      <c r="K534" s="273" t="s">
        <v>15869</v>
      </c>
      <c r="L534" s="273" t="s">
        <v>15878</v>
      </c>
      <c r="M534" s="273" t="s">
        <v>15869</v>
      </c>
      <c r="N534" s="273" t="s">
        <v>15869</v>
      </c>
      <c r="O534" s="273" t="s">
        <v>15869</v>
      </c>
      <c r="P534" s="220" t="s">
        <v>499</v>
      </c>
      <c r="Q534" s="274"/>
      <c r="R534" s="217" t="str">
        <f ca="1">IF(ISERROR($V534),"",OFFSET('Smelter Look-up'!$C$4,$V534-4,0)&amp;"")</f>
        <v/>
      </c>
      <c r="S534" s="225" t="str">
        <f t="shared" ca="1" si="75"/>
        <v>CN</v>
      </c>
      <c r="T534" s="225" t="str">
        <f ca="1">IF(B534="","",IF(ISERROR(MATCH($J534,SorP!$B$1:$B$6230,0)),"",INDIRECT("'SorP'!$A$"&amp;MATCH($J534,SorP!$B$1:$B$6230,0))))</f>
        <v/>
      </c>
      <c r="U534" s="241"/>
      <c r="V534" s="275">
        <f>IF(C534="",NA(),MATCH($B534&amp;$C534,'Smelter Look-up'!$J:$J,0))</f>
        <v>293</v>
      </c>
      <c r="W534" s="276"/>
      <c r="X534" s="276">
        <f t="shared" si="76"/>
        <v>0</v>
      </c>
      <c r="Y534" s="276"/>
      <c r="Z534" s="276"/>
      <c r="AB534" s="278" t="str">
        <f t="shared" si="77"/>
        <v>GoldSmelter not listed</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4"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4" thickTop="1">
      <c r="U2506" s="282"/>
      <c r="V2506" s="282"/>
      <c r="W2506" s="282"/>
      <c r="X2506" s="282"/>
      <c r="Y2506" s="282"/>
      <c r="Z2506" s="282"/>
    </row>
    <row r="2507" spans="1:28">
      <c r="U2507" s="282"/>
      <c r="V2507" s="282"/>
      <c r="W2507" s="282"/>
      <c r="X2507" s="282"/>
      <c r="Y2507" s="282"/>
      <c r="Z2507" s="282"/>
    </row>
    <row r="2508" spans="1:28" ht="14"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7"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hidden="1" customWidth="1"/>
    <col min="6" max="6" width="13.61328125" style="22" hidden="1" customWidth="1"/>
    <col min="7" max="7" width="13.3828125" style="22" hidden="1" customWidth="1"/>
    <col min="8" max="8" width="9" style="22" hidden="1" customWidth="1"/>
    <col min="9" max="9" width="9" style="178" hidden="1" customWidth="1"/>
    <col min="10" max="10" width="48.84375" style="22" hidden="1" customWidth="1"/>
    <col min="11" max="11" width="9" style="22" hidden="1" customWidth="1"/>
    <col min="12" max="14" width="8.84375" style="22" hidden="1" customWidth="1"/>
    <col min="15" max="18" width="8.84375" style="22" customWidth="1"/>
    <col min="19" max="16384" width="8.843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1">
      <c r="A4" s="103" t="str">
        <f ca="1">Declaration!B8</f>
        <v>Company Name (*):</v>
      </c>
      <c r="B4" s="102" t="str">
        <f>Declaration!D8</f>
        <v>Pleora technologies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Ismail Mounir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ismail.mounir@pleora.com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613-288-8921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Ismail Mounir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ismail.mounir@pleora.com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44257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831</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829</v>
      </c>
      <c r="F18" s="106"/>
      <c r="G18" s="24"/>
      <c r="H18" s="24"/>
      <c r="J18" s="180"/>
    </row>
    <row r="19" spans="1:10" ht="41">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41">
      <c r="A24" s="103" t="str">
        <f ca="1">Declaration!B38</f>
        <v>Tantalum  (*)</v>
      </c>
      <c r="B24" s="102" t="str">
        <f>IF(AND($B$14="Yes",$B$19="Yes"),Declaration!D38,0)</f>
        <v>Unknown</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Unknown</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9"/>
    </row>
    <row r="29" spans="1:10" ht="41.15"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41">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828</v>
      </c>
      <c r="F38" s="106"/>
      <c r="G38" s="24"/>
      <c r="H38" s="24"/>
    </row>
    <row r="39" spans="1:10" ht="27.5">
      <c r="A39" s="103" t="str">
        <f ca="1">Declaration!B56</f>
        <v>Tantalum  (*)</v>
      </c>
      <c r="B39" s="299" t="str">
        <f>IF(AND($B$14="Yes",$B$19="Yes"),Declaration!D56,0)</f>
        <v>Greater than 90%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299" t="str">
        <f>IF(AND($B$17="Yes",$B$22="Yes"),Declaration!D59,0)</f>
        <v>Greater than 90%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829</v>
      </c>
      <c r="F43" s="106"/>
      <c r="G43" s="24"/>
      <c r="H43" s="24"/>
    </row>
    <row r="44" spans="1:10" ht="54.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830</v>
      </c>
      <c r="F48" s="106"/>
      <c r="G48" s="24"/>
      <c r="H48" s="24"/>
    </row>
    <row r="49" spans="1:10" ht="41">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451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t="str">
        <f>Declaration!G77</f>
        <v>https://www.pleora.com/wp-content/uploads/2018/04/Environmental-Sustainability-and-Social-Responsibility-Policy.pdf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14429</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41">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41">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41">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7">
      <c r="A69" s="195" t="s">
        <v>2482</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4"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8" t="str">
        <f ca="1">OFFSET(L!$C$1,MATCH("General"&amp;"Cpy",L!$A:$A,0)-1,SL,,)</f>
        <v>© 2020 Responsible Minerals Initiative. All rights reserved.</v>
      </c>
      <c r="C1001" s="448"/>
      <c r="D1001" s="448"/>
      <c r="E1001" s="31"/>
    </row>
    <row r="1002" spans="1:6" ht="14"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6384" width="8.84375" style="227"/>
  </cols>
  <sheetData>
    <row r="1" spans="1:16" ht="168.65"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5" width="8.84375" style="187" customWidth="1"/>
    <col min="16" max="16384" width="8.843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1">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37.5">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0.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7">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40.5">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0.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0.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40.5">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1">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27">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81">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27">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67.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0.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0.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48.5">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1.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40.5">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391.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55">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16">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16">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0.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58">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94.5">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08">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01.5">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364.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03">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188.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01.5">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0.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7">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87">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67.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3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1">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08">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3.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3.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4">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24">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81">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02.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16">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40.5">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02.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27">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10.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48.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40.5">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7">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67.5">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7">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1">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89">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3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29.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0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7">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270">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56.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7">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3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175.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7">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40.5">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43.5">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4">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7">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7">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7">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7">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7">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7">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27">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29">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14.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4">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40.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0.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29">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29">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40.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7">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7">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67.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4">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27">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29">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0.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27">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29">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14.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7">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7">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7">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7">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7">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27">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7">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7">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7">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7">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7">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7">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7">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7">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7">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7">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7">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0.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0.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4">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27">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0.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4">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27">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7">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7">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27">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0.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40.5">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27">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0.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0.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27">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0.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4">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4">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4">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4">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67.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67.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67.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67.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67.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67.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67.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67.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67.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67.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54">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67.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40.5">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4">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4">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4">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0.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0.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0.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0.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4">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54">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4">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4.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4">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40.5">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0.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40.5">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40.5">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40.5">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7">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67.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67.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Ismail Mounir</cp:lastModifiedBy>
  <cp:lastPrinted>2015-04-21T20:47:43Z</cp:lastPrinted>
  <dcterms:created xsi:type="dcterms:W3CDTF">2010-06-21T21:00:23Z</dcterms:created>
  <dcterms:modified xsi:type="dcterms:W3CDTF">2021-03-02T20:20:29Z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